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960" activeTab="0"/>
  </bookViews>
  <sheets>
    <sheet name="general dump" sheetId="1" r:id="rId1"/>
    <sheet name="reported claim lag dump" sheetId="2" r:id="rId2"/>
    <sheet name="paid claim lag dump" sheetId="3" r:id="rId3"/>
    <sheet name="aux" sheetId="4" r:id="rId4"/>
    <sheet name="exposure dump" sheetId="5" r:id="rId5"/>
    <sheet name="ncco dump" sheetId="6" r:id="rId6"/>
    <sheet name="LinearLag" sheetId="7" r:id="rId7"/>
    <sheet name="BlockExposure" sheetId="8" r:id="rId8"/>
    <sheet name="RepLag" sheetId="9" r:id="rId9"/>
    <sheet name="PaidLag" sheetId="10" r:id="rId10"/>
    <sheet name="IncurredClaims" sheetId="11" r:id="rId11"/>
    <sheet name="ClaimCost" sheetId="12" r:id="rId12"/>
    <sheet name="Liabilities" sheetId="13" r:id="rId13"/>
    <sheet name="Sheet8" sheetId="14" state="hidden" r:id="rId14"/>
    <sheet name="IntDiscAdjExp" sheetId="15" r:id="rId15"/>
    <sheet name="WeightedNCC0" sheetId="16" r:id="rId16"/>
    <sheet name="Output" sheetId="17" r:id="rId17"/>
    <sheet name="csv" sheetId="18" r:id="rId18"/>
  </sheets>
  <externalReferences>
    <externalReference r:id="rId21"/>
    <externalReference r:id="rId22"/>
  </externalReferences>
  <definedNames>
    <definedName name="AdjClaimLiab">#REF!</definedName>
    <definedName name="AEFac">'general dump'!$E$16</definedName>
    <definedName name="ALRValDat">#REF!</definedName>
    <definedName name="ANC">'general dump'!$E$22</definedName>
    <definedName name="Basis">'general dump'!$E$10</definedName>
    <definedName name="CalcIncClms">'IncurredClaims'!$A$9:$L$44</definedName>
    <definedName name="ClaimLiabilities">'Liabilities'!$A$9:$G$44</definedName>
    <definedName name="ClmCosts">'ClaimCost'!$A$9:$F$44</definedName>
    <definedName name="CMF">'general dump'!$E$14</definedName>
    <definedName name="CmpFac">'RepLag'!$F$54:$AO$54</definedName>
    <definedName name="DisRat">'general dump'!$E$15</definedName>
    <definedName name="ExpDat">'general dump'!$E$11</definedName>
    <definedName name="ExpDump">'exposure dump'!$B$3:$I$38</definedName>
    <definedName name="expos">'[2]exposure dump'!$B$3:$I$38</definedName>
    <definedName name="IBNR">'Liabilities'!$F$53</definedName>
    <definedName name="LiabilityBasis">'[1]Other Data'!$D$9</definedName>
    <definedName name="LinearIncLag">'LinearLag'!$A$9:$E$57</definedName>
    <definedName name="LinearRepLag">'LinearLag'!$G$9:$K$57</definedName>
    <definedName name="MCF">'general dump'!$E$24</definedName>
    <definedName name="MEP">'general dump'!$E$20</definedName>
    <definedName name="MNR">'general dump'!$E$23</definedName>
    <definedName name="MRO">'general dump'!$E$19</definedName>
    <definedName name="NccFacDump">'ncco dump'!$B$3:$C$38</definedName>
    <definedName name="NccoFacDump">'ncco dump'!$B$3:$C$38</definedName>
    <definedName name="PaidCmpFac">'PaidLag'!$F$54:$AO$54</definedName>
    <definedName name="PaidDump" localSheetId="1">'reported claim lag dump'!$B$3:$AL$38</definedName>
    <definedName name="PaidDump">'paid claim lag dump'!$B$3:$AL$38</definedName>
    <definedName name="PendingClms">'Liabilities'!$F$55</definedName>
    <definedName name="Premium">'general dump'!$E$9</definedName>
    <definedName name="_xlnm.Print_Area" localSheetId="10">'IncurredClaims'!$A$1:$L$48</definedName>
    <definedName name="_xlnm.Print_Area" localSheetId="12">'Liabilities'!$A$1:$I$61</definedName>
    <definedName name="_xlnm.Print_Area" localSheetId="9">'PaidLag'!$A$1:$AO$54</definedName>
    <definedName name="_xlnm.Print_Area" localSheetId="8">'RepLag'!$A$1:$AO$54</definedName>
    <definedName name="_xlnm.Print_Titles" localSheetId="10">'IncurredClaims'!$A:$A</definedName>
    <definedName name="_xlnm.Print_Titles" localSheetId="12">'Liabilities'!$A:$A</definedName>
    <definedName name="_xlnm.Print_Titles" localSheetId="9">'PaidLag'!$A:$A</definedName>
    <definedName name="_xlnm.Print_Titles" localSheetId="8">'RepLag'!$A:$A</definedName>
    <definedName name="ReportedDump">'aux'!$B$3:$AL$38</definedName>
    <definedName name="Restated">'Liabilities'!$F$57</definedName>
    <definedName name="RunDat">'general dump'!$E$13</definedName>
    <definedName name="RunoutPaid">'PaidLag'!$A$58:$D$105</definedName>
    <definedName name="RunoutRep">'RepLag'!$A$58:$D$105</definedName>
    <definedName name="title1">'general dump'!$F$2</definedName>
    <definedName name="title2">'general dump'!$F$3</definedName>
    <definedName name="title3">'general dump'!$E$8</definedName>
    <definedName name="title4">'general dump'!$F$4</definedName>
    <definedName name="TotalClaimLiability">'Liabilities'!$F$56</definedName>
    <definedName name="TotalIncPaidClms">'PaidLag'!$D$45</definedName>
    <definedName name="TotalIncRepClms">'RepLag'!$D$45</definedName>
    <definedName name="TotalIncurredClaims">'IncurredClaims'!$J$45</definedName>
    <definedName name="TrendedIBNR">'Liabilities'!$F$54</definedName>
    <definedName name="TrendFacDump">'general dump'!$B$3:$C$38</definedName>
    <definedName name="TriPaidLag">'PaidLag'!$A$9:$AO$44</definedName>
    <definedName name="TriRepLag">'RepLag'!$A$9:$AO$44</definedName>
    <definedName name="ValDat">'general dump'!$E$12</definedName>
    <definedName name="WeightedNCC0">'WeightedNCC0'!$F$51</definedName>
  </definedNames>
  <calcPr calcMode="manual" fullCalcOnLoad="1"/>
</workbook>
</file>

<file path=xl/comments10.xml><?xml version="1.0" encoding="utf-8"?>
<comments xmlns="http://schemas.openxmlformats.org/spreadsheetml/2006/main">
  <authors>
    <author>Lic Marian Smith ASA, MAAA, MAVA</author>
    <author>Marian</author>
  </authors>
  <commentList>
    <comment ref="C8" authorId="0">
      <text>
        <r>
          <rPr>
            <sz val="8"/>
            <rFont val="Tahoma"/>
            <family val="2"/>
          </rPr>
          <t xml:space="preserve">Standard Exposure Units: Weighted insureds inforce during month with fraction of month inforce, </t>
        </r>
        <r>
          <rPr>
            <u val="single"/>
            <sz val="8"/>
            <rFont val="Tahoma"/>
            <family val="2"/>
          </rPr>
          <t>adjusted</t>
        </r>
        <r>
          <rPr>
            <sz val="8"/>
            <rFont val="Tahoma"/>
            <family val="2"/>
          </rPr>
          <t xml:space="preserve"> for underwriting aging factor.</t>
        </r>
      </text>
    </comment>
    <comment ref="D45" authorId="1">
      <text>
        <r>
          <rPr>
            <sz val="8"/>
            <rFont val="Tahoma"/>
            <family val="2"/>
          </rPr>
          <t>Total Incurred and Paid Claims</t>
        </r>
      </text>
    </comment>
  </commentList>
</comments>
</file>

<file path=xl/comments11.xml><?xml version="1.0" encoding="utf-8"?>
<comments xmlns="http://schemas.openxmlformats.org/spreadsheetml/2006/main">
  <authors>
    <author>Marian</author>
    <author>Lic Marian Smith ASA, MAAA, MAVA</author>
  </authors>
  <commentList>
    <comment ref="J45" authorId="0">
      <text>
        <r>
          <rPr>
            <sz val="8"/>
            <color indexed="18"/>
            <rFont val="Tahoma"/>
            <family val="2"/>
          </rPr>
          <t>Total Estimated Incurred Claims</t>
        </r>
      </text>
    </comment>
    <comment ref="F8" authorId="1">
      <text>
        <r>
          <rPr>
            <sz val="8"/>
            <rFont val="Tahoma"/>
            <family val="2"/>
          </rPr>
          <t>averageclaim_(month)
      multiplied by
sumproduct_(until prior month)  OF (trendfactor* total estimated incurred claims by Blended Metod)
      divided by
[trendfactor _(on prior month) * sum_(until prior month)  OF (total estimated incurred claims by Blended Metod)</t>
        </r>
      </text>
    </comment>
    <comment ref="G8" authorId="1">
      <text>
        <r>
          <rPr>
            <sz val="8"/>
            <rFont val="Tahoma"/>
            <family val="2"/>
          </rPr>
          <t xml:space="preserve">Standard Exposure Units: Weighted insureds inforce during month with fraction of month inforce, </t>
        </r>
        <r>
          <rPr>
            <u val="single"/>
            <sz val="8"/>
            <rFont val="Tahoma"/>
            <family val="2"/>
          </rPr>
          <t>adjusted</t>
        </r>
        <r>
          <rPr>
            <sz val="8"/>
            <rFont val="Tahoma"/>
            <family val="2"/>
          </rPr>
          <t xml:space="preserve"> for underwriting aging factor.</t>
        </r>
      </text>
    </comment>
  </commentList>
</comments>
</file>

<file path=xl/comments12.xml><?xml version="1.0" encoding="utf-8"?>
<comments xmlns="http://schemas.openxmlformats.org/spreadsheetml/2006/main">
  <authors>
    <author>Lic Marian Smith ASA, MAAA, MAVA</author>
    <author>Marian</author>
  </authors>
  <commentList>
    <comment ref="B8" authorId="0">
      <text>
        <r>
          <rPr>
            <sz val="8"/>
            <rFont val="Tahoma"/>
            <family val="2"/>
          </rPr>
          <t xml:space="preserve">Standard Exposure Units: Weighted insureds inforce during month with fraction of month inforce, </t>
        </r>
        <r>
          <rPr>
            <u val="single"/>
            <sz val="8"/>
            <rFont val="Tahoma"/>
            <family val="2"/>
          </rPr>
          <t>adjusted</t>
        </r>
        <r>
          <rPr>
            <sz val="8"/>
            <rFont val="Tahoma"/>
            <family val="2"/>
          </rPr>
          <t xml:space="preserve"> for underwriting aging factor.</t>
        </r>
      </text>
    </comment>
    <comment ref="B45" authorId="1">
      <text>
        <r>
          <rPr>
            <sz val="8"/>
            <rFont val="Tahoma"/>
            <family val="2"/>
          </rPr>
          <t>(C) Valuation Month Exposure</t>
        </r>
      </text>
    </comment>
    <comment ref="F45" authorId="1">
      <text>
        <r>
          <rPr>
            <sz val="8"/>
            <rFont val="Tahoma"/>
            <family val="2"/>
          </rPr>
          <t>(A) Average Claim Cost</t>
        </r>
      </text>
    </comment>
    <comment ref="I54" authorId="1">
      <text>
        <r>
          <rPr>
            <sz val="8"/>
            <color indexed="18"/>
            <rFont val="Tahoma"/>
            <family val="2"/>
          </rPr>
          <t>(D) Valuation Month value from column (F) in 'Block Exposure' sheet</t>
        </r>
      </text>
    </comment>
    <comment ref="I55" authorId="1">
      <text>
        <r>
          <rPr>
            <sz val="8"/>
            <color indexed="18"/>
            <rFont val="Tahoma"/>
            <family val="2"/>
          </rPr>
          <t>(E) Valuation Month value from column (G) in 'Block Exposure' sheet</t>
        </r>
      </text>
    </comment>
  </commentList>
</comments>
</file>

<file path=xl/comments13.xml><?xml version="1.0" encoding="utf-8"?>
<comments xmlns="http://schemas.openxmlformats.org/spreadsheetml/2006/main">
  <authors>
    <author>Marian</author>
  </authors>
  <commentList>
    <comment ref="C8" authorId="0">
      <text>
        <r>
          <rPr>
            <sz val="8"/>
            <color indexed="18"/>
            <rFont val="Arial"/>
            <family val="2"/>
          </rPr>
          <t>= (Total Incurred Claims) - (Incurred and Reported Claims as of the end of the Month)</t>
        </r>
      </text>
    </comment>
    <comment ref="B45" authorId="0">
      <text>
        <r>
          <rPr>
            <sz val="8"/>
            <color indexed="56"/>
            <rFont val="Tahoma"/>
            <family val="2"/>
          </rPr>
          <t xml:space="preserve">(D) </t>
        </r>
      </text>
    </comment>
    <comment ref="D45" authorId="0">
      <text>
        <r>
          <rPr>
            <sz val="8"/>
            <color indexed="56"/>
            <rFont val="Tahoma"/>
            <family val="2"/>
          </rPr>
          <t>(E) Pending Claims</t>
        </r>
      </text>
    </comment>
    <comment ref="F45" authorId="0">
      <text>
        <r>
          <rPr>
            <sz val="8"/>
            <color indexed="56"/>
            <rFont val="Tahoma"/>
            <family val="2"/>
          </rPr>
          <t>(F) Remaining Claim Liability</t>
        </r>
      </text>
    </comment>
    <comment ref="F50" authorId="0">
      <text>
        <r>
          <rPr>
            <sz val="8"/>
            <color indexed="56"/>
            <rFont val="Tahoma"/>
            <family val="2"/>
          </rPr>
          <t xml:space="preserve">(A) </t>
        </r>
        <r>
          <rPr>
            <i/>
            <sz val="8"/>
            <color indexed="56"/>
            <rFont val="Tahoma"/>
            <family val="2"/>
          </rPr>
          <t>Estimated Incurred Claims</t>
        </r>
        <r>
          <rPr>
            <sz val="8"/>
            <color indexed="56"/>
            <rFont val="Tahoma"/>
            <family val="2"/>
          </rPr>
          <t xml:space="preserve"> (Blended Method) from 'Incurred Claims' sheet</t>
        </r>
      </text>
    </comment>
    <comment ref="F51" authorId="0">
      <text>
        <r>
          <rPr>
            <sz val="8"/>
            <color indexed="56"/>
            <rFont val="Tahoma"/>
            <family val="2"/>
          </rPr>
          <t xml:space="preserve">(B) </t>
        </r>
        <r>
          <rPr>
            <i/>
            <sz val="8"/>
            <color indexed="56"/>
            <rFont val="Tahoma"/>
            <family val="2"/>
          </rPr>
          <t>Total Incurred and Reported Claims</t>
        </r>
        <r>
          <rPr>
            <sz val="8"/>
            <color indexed="56"/>
            <rFont val="Tahoma"/>
            <family val="2"/>
          </rPr>
          <t xml:space="preserve"> from Claim Lags</t>
        </r>
      </text>
    </comment>
    <comment ref="F52" authorId="0">
      <text>
        <r>
          <rPr>
            <sz val="8"/>
            <color indexed="56"/>
            <rFont val="Tahoma"/>
            <family val="2"/>
          </rPr>
          <t xml:space="preserve">( C) </t>
        </r>
        <r>
          <rPr>
            <i/>
            <sz val="8"/>
            <color indexed="56"/>
            <rFont val="Tahoma"/>
            <family val="2"/>
          </rPr>
          <t>Total Incurred and Paid Claims</t>
        </r>
        <r>
          <rPr>
            <sz val="8"/>
            <color indexed="56"/>
            <rFont val="Tahoma"/>
            <family val="2"/>
          </rPr>
          <t xml:space="preserve"> from Claim Lags</t>
        </r>
      </text>
    </comment>
    <comment ref="B8" authorId="0">
      <text>
        <r>
          <rPr>
            <sz val="8"/>
            <rFont val="Arial"/>
            <family val="2"/>
          </rPr>
          <t>(Cumulative Estimated Incurred Claims) - (Cumulative Incurred and Reported Claims )</t>
        </r>
      </text>
    </comment>
    <comment ref="G45" authorId="0">
      <text>
        <r>
          <rPr>
            <sz val="8"/>
            <color indexed="56"/>
            <rFont val="Tahoma"/>
            <family val="2"/>
          </rPr>
          <t>(G) Restated Claim Liability</t>
        </r>
      </text>
    </comment>
    <comment ref="F57" authorId="0">
      <text>
        <r>
          <rPr>
            <sz val="8"/>
            <color indexed="56"/>
            <rFont val="Tahoma"/>
            <family val="2"/>
          </rPr>
          <t xml:space="preserve">(G) This is the </t>
        </r>
        <r>
          <rPr>
            <i/>
            <sz val="8"/>
            <color indexed="56"/>
            <rFont val="Tahoma"/>
            <family val="2"/>
          </rPr>
          <t>Remaining Claim Liability</t>
        </r>
        <r>
          <rPr>
            <sz val="8"/>
            <color indexed="56"/>
            <rFont val="Tahoma"/>
            <family val="2"/>
          </rPr>
          <t xml:space="preserve"> + any Incurred Claims paid during the Runout months, if any</t>
        </r>
      </text>
    </comment>
  </commentList>
</comments>
</file>

<file path=xl/comments15.xml><?xml version="1.0" encoding="utf-8"?>
<comments xmlns="http://schemas.openxmlformats.org/spreadsheetml/2006/main">
  <authors>
    <author>Lic Marian Smith ASA, MAAA, MAVA</author>
  </authors>
  <commentList>
    <comment ref="C8" authorId="0">
      <text>
        <r>
          <rPr>
            <sz val="8"/>
            <rFont val="Tahoma"/>
            <family val="2"/>
          </rPr>
          <t>1 - Completion Factor (on a paid basis)</t>
        </r>
      </text>
    </comment>
    <comment ref="E8" authorId="0">
      <text>
        <r>
          <rPr>
            <sz val="8"/>
            <rFont val="Tahoma"/>
            <family val="2"/>
          </rPr>
          <t>(Claim Liability  Factors) * (Monthly Discount Factors)</t>
        </r>
      </text>
    </comment>
    <comment ref="C45" authorId="0">
      <text>
        <r>
          <rPr>
            <sz val="8"/>
            <rFont val="Tahoma"/>
            <family val="2"/>
          </rPr>
          <t>(A) sum of all claim liability factors</t>
        </r>
      </text>
    </comment>
    <comment ref="E45" authorId="0">
      <text>
        <r>
          <rPr>
            <sz val="8"/>
            <rFont val="Tahoma"/>
            <family val="2"/>
          </rPr>
          <t>(B) sum of all present values</t>
        </r>
      </text>
    </comment>
  </commentList>
</comments>
</file>

<file path=xl/comments16.xml><?xml version="1.0" encoding="utf-8"?>
<comments xmlns="http://schemas.openxmlformats.org/spreadsheetml/2006/main">
  <authors>
    <author>Lic Marian Smith ASA, MAAA, MAVA</author>
  </authors>
  <commentList>
    <comment ref="E8" authorId="0">
      <text>
        <r>
          <rPr>
            <sz val="8"/>
            <rFont val="Tahoma"/>
            <family val="2"/>
          </rPr>
          <t xml:space="preserve">Standard Exposure Units: Weighted insureds inforce during month with fraction of month inforce, </t>
        </r>
        <r>
          <rPr>
            <u val="single"/>
            <sz val="8"/>
            <rFont val="Tahoma"/>
            <family val="2"/>
          </rPr>
          <t>adjusted</t>
        </r>
        <r>
          <rPr>
            <sz val="8"/>
            <rFont val="Tahoma"/>
            <family val="2"/>
          </rPr>
          <t xml:space="preserve"> for underwriting aging factor.</t>
        </r>
      </text>
    </comment>
    <comment ref="F45" authorId="0">
      <text>
        <r>
          <rPr>
            <sz val="8"/>
            <rFont val="Tahoma"/>
            <family val="2"/>
          </rPr>
          <t>(A) Total Weighted and Trended Incurred Claims</t>
        </r>
      </text>
    </comment>
    <comment ref="G45" authorId="0">
      <text>
        <r>
          <rPr>
            <sz val="8"/>
            <rFont val="Tahoma"/>
            <family val="2"/>
          </rPr>
          <t>(B) Total Weighted Exposure</t>
        </r>
      </text>
    </comment>
  </commentList>
</comments>
</file>

<file path=xl/comments9.xml><?xml version="1.0" encoding="utf-8"?>
<comments xmlns="http://schemas.openxmlformats.org/spreadsheetml/2006/main">
  <authors>
    <author>Lic Marian Smith ASA, MAAA, MAVA</author>
    <author>Marian</author>
  </authors>
  <commentList>
    <comment ref="C8" authorId="0">
      <text>
        <r>
          <rPr>
            <sz val="8"/>
            <rFont val="Tahoma"/>
            <family val="2"/>
          </rPr>
          <t xml:space="preserve">Standard Exposure Units: Weighted insureds inforce during month with fraction of month inforce, </t>
        </r>
        <r>
          <rPr>
            <u val="single"/>
            <sz val="8"/>
            <rFont val="Tahoma"/>
            <family val="2"/>
          </rPr>
          <t>adjusted</t>
        </r>
        <r>
          <rPr>
            <sz val="8"/>
            <rFont val="Tahoma"/>
            <family val="2"/>
          </rPr>
          <t xml:space="preserve"> for underwriting aging factor.</t>
        </r>
      </text>
    </comment>
    <comment ref="D45" authorId="1">
      <text>
        <r>
          <rPr>
            <sz val="8"/>
            <rFont val="Tahoma"/>
            <family val="2"/>
          </rPr>
          <t>Total Incurred and Reported Claims</t>
        </r>
      </text>
    </comment>
  </commentList>
</comments>
</file>

<file path=xl/sharedStrings.xml><?xml version="1.0" encoding="utf-8"?>
<sst xmlns="http://schemas.openxmlformats.org/spreadsheetml/2006/main" count="448" uniqueCount="243">
  <si>
    <t>Inc&amp;Rep as of the end of Each Month</t>
  </si>
  <si>
    <t>Total Incurred and Paid Claims</t>
  </si>
  <si>
    <t>Inc&amp;Paid as of the end of Each Month</t>
  </si>
  <si>
    <t>VALUE</t>
  </si>
  <si>
    <t>(D) Full Month Weighted Lives*  ………………………………………………………………………………………………….</t>
  </si>
  <si>
    <t>(G) Current Monthly Premium (Sum of premium on active lives on the Valuation Date)  ………………………………………………………………………………………………….</t>
  </si>
  <si>
    <t>(H) Adjusted Loss Ratio on Valuation Date (F/G)  ………………………………………………………………………………………………….</t>
  </si>
  <si>
    <t>(C) Valuation Month Exposure  ………………………………………………………………………………………………….</t>
  </si>
  <si>
    <t>Desc</t>
  </si>
  <si>
    <t>CompFac for Lag0</t>
  </si>
  <si>
    <t>CompFac for Lag1</t>
  </si>
  <si>
    <t>CompFac for Lag2</t>
  </si>
  <si>
    <t>CompFac for Lag3</t>
  </si>
  <si>
    <t>CompFac for Lag4</t>
  </si>
  <si>
    <t>CompFac for Lag5</t>
  </si>
  <si>
    <t>CompFac for Lag6</t>
  </si>
  <si>
    <t>CompFac for Lag7</t>
  </si>
  <si>
    <t>CompFac for Lag8</t>
  </si>
  <si>
    <t>CompFac for Lag9</t>
  </si>
  <si>
    <t>CompFac for Lag10</t>
  </si>
  <si>
    <t>CompFac for Lag11</t>
  </si>
  <si>
    <t>CompFac for Lag12</t>
  </si>
  <si>
    <t>CompFac for Lag13</t>
  </si>
  <si>
    <t>CompFac for Lag14</t>
  </si>
  <si>
    <t>CompFac for Lag15</t>
  </si>
  <si>
    <t>CompFac for Lag16</t>
  </si>
  <si>
    <t>CompFac for Lag17</t>
  </si>
  <si>
    <t>CompFac for Lag18</t>
  </si>
  <si>
    <t>CompFac for Lag19</t>
  </si>
  <si>
    <t>CompFac for Lag20</t>
  </si>
  <si>
    <t>CompFac for Lag21</t>
  </si>
  <si>
    <t>CompFac for Lag22</t>
  </si>
  <si>
    <t>CompFac for Lag23</t>
  </si>
  <si>
    <t>CompFac for Lag24</t>
  </si>
  <si>
    <t>CompFac for Lag25</t>
  </si>
  <si>
    <t>CompFac for Lag26</t>
  </si>
  <si>
    <t>CompFac for Lag27</t>
  </si>
  <si>
    <t>CompFac for Lag28</t>
  </si>
  <si>
    <t>CompFac for Lag29</t>
  </si>
  <si>
    <t>CompFac for Lag30</t>
  </si>
  <si>
    <t>CompFac for Lag31</t>
  </si>
  <si>
    <t>CompFac for Lag32</t>
  </si>
  <si>
    <t>CompFac for Lag33</t>
  </si>
  <si>
    <t>CompFac for Lag34</t>
  </si>
  <si>
    <t>CompFac for Lag35</t>
  </si>
  <si>
    <t>Values</t>
  </si>
  <si>
    <t xml:space="preserve"> </t>
  </si>
  <si>
    <t>Lives</t>
  </si>
  <si>
    <t>Issued</t>
  </si>
  <si>
    <t>Lapsed</t>
  </si>
  <si>
    <t>Inforce</t>
  </si>
  <si>
    <t>Without Aging</t>
  </si>
  <si>
    <t>With Aging</t>
  </si>
  <si>
    <t>Exposure (Partial Month Adjustment)</t>
  </si>
  <si>
    <t>Graphical Representation of Aging</t>
  </si>
  <si>
    <t>Valuation Date Remaining Inforce</t>
  </si>
  <si>
    <t>Persistency to Valuation Date</t>
  </si>
  <si>
    <t>Exposure</t>
  </si>
  <si>
    <t>Incurred Month</t>
  </si>
  <si>
    <t>Completion Factor Development Based on the Last k Months of Data For Each Lag Month Column</t>
  </si>
  <si>
    <t>BLOCK CLAIM LIABILITY REPORT</t>
  </si>
  <si>
    <t>Changes In Exposure - No Aging Full Month Credit</t>
  </si>
  <si>
    <t>Title1</t>
  </si>
  <si>
    <t>Title2</t>
  </si>
  <si>
    <t>Title4</t>
  </si>
  <si>
    <t>Valuation Date (ValDat)</t>
  </si>
  <si>
    <t>Experience Date (ExpDat)</t>
  </si>
  <si>
    <t>Runout Date (RunDat)</t>
  </si>
  <si>
    <t>Completion Factor</t>
  </si>
  <si>
    <t>Trend Factor</t>
  </si>
  <si>
    <t>Trended Claim Cost</t>
  </si>
  <si>
    <t>Blending Factor</t>
  </si>
  <si>
    <t>Final Completion Factor</t>
  </si>
  <si>
    <t>Average Aging Factor</t>
  </si>
  <si>
    <t>CALCULATION OF ESTIMATED INCURRED CLAIMS</t>
  </si>
  <si>
    <t>Average Claim Cost</t>
  </si>
  <si>
    <t>Monthly</t>
  </si>
  <si>
    <t>Cumulative</t>
  </si>
  <si>
    <r>
      <t>Completion Factor Method (</t>
    </r>
    <r>
      <rPr>
        <i/>
        <sz val="10"/>
        <color indexed="41"/>
        <rFont val="Tahoma"/>
        <family val="2"/>
      </rPr>
      <t>CFM</t>
    </r>
    <r>
      <rPr>
        <sz val="10"/>
        <color indexed="41"/>
        <rFont val="Tahoma"/>
        <family val="2"/>
      </rPr>
      <t>)</t>
    </r>
  </si>
  <si>
    <r>
      <t>Projection Method (</t>
    </r>
    <r>
      <rPr>
        <i/>
        <sz val="10"/>
        <color indexed="41"/>
        <rFont val="Tahoma"/>
        <family val="2"/>
      </rPr>
      <t>PM</t>
    </r>
    <r>
      <rPr>
        <sz val="10"/>
        <color indexed="41"/>
        <rFont val="Tahoma"/>
        <family val="2"/>
      </rPr>
      <t>)</t>
    </r>
  </si>
  <si>
    <r>
      <t>Blended Method (</t>
    </r>
    <r>
      <rPr>
        <i/>
        <sz val="10"/>
        <color indexed="41"/>
        <rFont val="Tahoma"/>
        <family val="2"/>
      </rPr>
      <t>BM</t>
    </r>
    <r>
      <rPr>
        <sz val="10"/>
        <color indexed="41"/>
        <rFont val="Tahoma"/>
        <family val="2"/>
      </rPr>
      <t>)</t>
    </r>
  </si>
  <si>
    <t>Total Current Premium</t>
  </si>
  <si>
    <t>Scenario ID</t>
  </si>
  <si>
    <t>Scenario Name</t>
  </si>
  <si>
    <t>INCMONTH</t>
  </si>
  <si>
    <t>LIVES</t>
  </si>
  <si>
    <t>ISSUED</t>
  </si>
  <si>
    <t>LAPSED</t>
  </si>
  <si>
    <t>EXPNOAGINGNOPM</t>
  </si>
  <si>
    <t>EXPNOAGING</t>
  </si>
  <si>
    <t>EXPOSUREORIG</t>
  </si>
  <si>
    <t>EXPOSUREREMAININGVD</t>
  </si>
  <si>
    <t>LAG0</t>
  </si>
  <si>
    <t>LAG1</t>
  </si>
  <si>
    <t>LAG2</t>
  </si>
  <si>
    <t>LAG3</t>
  </si>
  <si>
    <t>LAG4</t>
  </si>
  <si>
    <t>LAG5</t>
  </si>
  <si>
    <t>LAG6</t>
  </si>
  <si>
    <t>LAG7</t>
  </si>
  <si>
    <t>LAG8</t>
  </si>
  <si>
    <t>LAG9</t>
  </si>
  <si>
    <t>LAG10</t>
  </si>
  <si>
    <t>LAG11</t>
  </si>
  <si>
    <t>LAG12</t>
  </si>
  <si>
    <t>LAG13</t>
  </si>
  <si>
    <t>LAG14</t>
  </si>
  <si>
    <t>LAG15</t>
  </si>
  <si>
    <t>LAG16</t>
  </si>
  <si>
    <t>LAG17</t>
  </si>
  <si>
    <t>LAG18</t>
  </si>
  <si>
    <t>LAG19</t>
  </si>
  <si>
    <t>LAG20</t>
  </si>
  <si>
    <t>LAG21</t>
  </si>
  <si>
    <t>LAG22</t>
  </si>
  <si>
    <t>LAG23</t>
  </si>
  <si>
    <t>LAG24</t>
  </si>
  <si>
    <t>LAG25</t>
  </si>
  <si>
    <t>LAG26</t>
  </si>
  <si>
    <t>LAG27</t>
  </si>
  <si>
    <t>LAG28</t>
  </si>
  <si>
    <t>LAG29</t>
  </si>
  <si>
    <t>LAG30</t>
  </si>
  <si>
    <t>LAG31</t>
  </si>
  <si>
    <t>LAG32</t>
  </si>
  <si>
    <t>LAG33</t>
  </si>
  <si>
    <t>LAG34</t>
  </si>
  <si>
    <t>LAG35</t>
  </si>
  <si>
    <t>REFDATE (Inc/Paid)</t>
  </si>
  <si>
    <t>REFDATE</t>
  </si>
  <si>
    <t>TRENDFAC</t>
  </si>
  <si>
    <t>WEIGHTFAC</t>
  </si>
  <si>
    <t>Adjudication Expense Factor</t>
  </si>
  <si>
    <t>Weighting Factor</t>
  </si>
  <si>
    <t>Untrended Estimated Incurred Claims</t>
  </si>
  <si>
    <t>Weighted and Trended Incurred Claims</t>
  </si>
  <si>
    <t>Weighted Exposure</t>
  </si>
  <si>
    <t>Incurred and Paid Claims</t>
  </si>
  <si>
    <t>PAID CLAIMS / NUMBER OF MONTHS BETWEEN INCURRED AND PAID DATES</t>
  </si>
  <si>
    <t xml:space="preserve">    ITEM DESCRIPTION</t>
  </si>
  <si>
    <r>
      <t xml:space="preserve">Remaining </t>
    </r>
    <r>
      <rPr>
        <sz val="10"/>
        <color indexed="41"/>
        <rFont val="Tahoma"/>
        <family val="2"/>
      </rPr>
      <t>Pending Claims as of Runout Date</t>
    </r>
  </si>
  <si>
    <r>
      <t>Remaining</t>
    </r>
    <r>
      <rPr>
        <sz val="10"/>
        <color indexed="41"/>
        <rFont val="Tahoma"/>
        <family val="2"/>
      </rPr>
      <t xml:space="preserve"> as of Runout Date</t>
    </r>
  </si>
  <si>
    <r>
      <t>Restated*</t>
    </r>
    <r>
      <rPr>
        <sz val="10"/>
        <color indexed="41"/>
        <rFont val="Tahoma"/>
        <family val="2"/>
      </rPr>
      <t xml:space="preserve"> PendClms as of the End of Each Incurred Month</t>
    </r>
  </si>
  <si>
    <r>
      <t>Restated*</t>
    </r>
    <r>
      <rPr>
        <sz val="10"/>
        <color indexed="41"/>
        <rFont val="Tahoma"/>
        <family val="2"/>
      </rPr>
      <t xml:space="preserve"> as of the Date of Each Incurred Month</t>
    </r>
  </si>
  <si>
    <t>PENDING CLAIM LIABILITY</t>
  </si>
  <si>
    <t>Reported Month</t>
  </si>
  <si>
    <t>Per Month</t>
  </si>
  <si>
    <t>Paid Claims</t>
  </si>
  <si>
    <t>LINEAR LAG SUMMARY BY INCURRED MONTH</t>
  </si>
  <si>
    <t>LINEAR LAG SUMMARY BY REPORTED MONTH</t>
  </si>
  <si>
    <t>Reported Claims</t>
  </si>
  <si>
    <t>Claim Maturity Factor (CMF)</t>
  </si>
  <si>
    <t>Months in Experience Period (MEP)</t>
  </si>
  <si>
    <t>Months of Runout (MRO)</t>
  </si>
  <si>
    <t>Number of Months for Calculation of Average Claim (AvgNoClm)</t>
  </si>
  <si>
    <t>* Use restated liabilities to validate liabilities estimated on prior valuation dates</t>
  </si>
  <si>
    <t>Cumulative Estimated Incurred Claims</t>
  </si>
  <si>
    <r>
      <t xml:space="preserve">Percent of Total that is Pending on the </t>
    </r>
    <r>
      <rPr>
        <u val="single"/>
        <sz val="10"/>
        <color indexed="43"/>
        <rFont val="Tahoma"/>
        <family val="2"/>
      </rPr>
      <t>Remaining</t>
    </r>
    <r>
      <rPr>
        <sz val="10"/>
        <color indexed="43"/>
        <rFont val="Tahoma"/>
        <family val="2"/>
      </rPr>
      <t xml:space="preserve"> Liability</t>
    </r>
  </si>
  <si>
    <t>SUMMARY:</t>
  </si>
  <si>
    <t>B. Trended Claims       …………………………………</t>
  </si>
  <si>
    <t>A. Claims       ……………………………………………</t>
  </si>
  <si>
    <t>C. Exposure      …………………………………………</t>
  </si>
  <si>
    <t>E. Cumulative Costs       ………………………………</t>
  </si>
  <si>
    <t>Gain / (Loss)</t>
  </si>
  <si>
    <t>D. Monthly Claim Costs       ……………………………</t>
  </si>
  <si>
    <t>F. Completion Factors       ……………………………</t>
  </si>
  <si>
    <t xml:space="preserve">  k =</t>
  </si>
  <si>
    <t>Inforce Month</t>
  </si>
  <si>
    <t>Trend to Valuation Month</t>
  </si>
  <si>
    <t>Maximum Number of Rows (MNR)</t>
  </si>
  <si>
    <t>Discount Rate</t>
  </si>
  <si>
    <t>Total Paid</t>
  </si>
  <si>
    <t>Paid Month</t>
  </si>
  <si>
    <t>Reported</t>
  </si>
  <si>
    <t>Present Value of Discount Factors</t>
  </si>
  <si>
    <t>Duration</t>
  </si>
  <si>
    <t>Claim Liability  Factors</t>
  </si>
  <si>
    <t>Total Estimated Incurred Claims</t>
  </si>
  <si>
    <t>(A)</t>
  </si>
  <si>
    <t>(A) In Force Month: All months during experience period, starting with month of experience Month ending on month of valuation Month.</t>
  </si>
  <si>
    <t>(B)</t>
  </si>
  <si>
    <t>(B) Number of active insureds with fraction of month credit.</t>
  </si>
  <si>
    <t>(C) Weighted insureds issued during the month, unadjusted for aging, full month credited.</t>
  </si>
  <si>
    <t>(C)</t>
  </si>
  <si>
    <t>(F) Full Month Estimated Incurred Claims (A * B * C * D / E)  …………………………………………………</t>
  </si>
  <si>
    <t>(A) Estimated Incurred Claims  ………………………………………………………………………………………………….</t>
  </si>
  <si>
    <t>(B) Incurred and Reported Claims  ………………………………………………………………………………………………….</t>
  </si>
  <si>
    <t>(C) Incurred Paid Claims  ………………………………………………………………………………………………….</t>
  </si>
  <si>
    <t>(D) Weighted insureds terminated during the month, unadjusted for aging, full month credited.</t>
  </si>
  <si>
    <t>(E) Gain or Loss of weighted insureds due to changes in benefit richness, age, area, etc.; unadjusted for aging.  Full month credited. This also includes weighted insureds in-force prior to the Experience Period.</t>
  </si>
  <si>
    <t>(F) Weighted insureds in-force at the end of the month, unadjusted for aging, full month credited.</t>
  </si>
  <si>
    <t>(G) Weighted insureds inforce during month with fraction of month inforce, unadjusted for aging.</t>
  </si>
  <si>
    <t>(H) Weighted insureds inforce during month with fraction of month inforce, adjusted for underwriting aging factor.</t>
  </si>
  <si>
    <t>(K) Of the weighted lives in force at the end of the month, those that are still in force as of the valuation date.</t>
  </si>
  <si>
    <t>(I) Weighted average aging factor for weighted lives in force during the month = (H) / (G)</t>
  </si>
  <si>
    <t>(J) Graphic representation of the aging factor in (I), a "*" is shown for each percentage point over 1.00.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</si>
  <si>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</si>
  <si>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</si>
  <si>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</si>
  <si>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</si>
  <si>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</si>
  <si>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</si>
  <si>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</si>
  <si>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</si>
  <si>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</si>
  <si>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EXPLANATION:</t>
  </si>
  <si>
    <t>(A) Total Weighted and Trended Incurred Claims  ……………………….</t>
  </si>
  <si>
    <t>(B) Total Weighted Exposure  ……………………………………………..</t>
  </si>
  <si>
    <t>(C) Weighted NCC0 (A/B)  ………………………………………………….</t>
  </si>
  <si>
    <t>Number of Months for Calculation Completion Factors (MCF)</t>
  </si>
  <si>
    <t>(E) Fractional Month Weighted Lives* …………………………………………………………………………….</t>
  </si>
  <si>
    <r>
      <t xml:space="preserve">* Items (D) and (E) adjust the Exposure in line (C) to put it on a full month basis as is the </t>
    </r>
    <r>
      <rPr>
        <i/>
        <sz val="10"/>
        <rFont val="Arial"/>
        <family val="2"/>
      </rPr>
      <t>Current Premium</t>
    </r>
    <r>
      <rPr>
        <sz val="10"/>
        <rFont val="Arial"/>
        <family val="0"/>
      </rPr>
      <t xml:space="preserve"> in Line G.</t>
    </r>
  </si>
  <si>
    <t>(E) Pending Claim Liability = (A - C - D)  ………………………………………………………………………………………………….</t>
  </si>
  <si>
    <t>(H) Adjudication Expense Liability (E * G)…………………………………………………….</t>
  </si>
  <si>
    <t>(E) Restated Claim Liability (from 'Liabilities" sheet)  ………………………………………………………………….</t>
  </si>
  <si>
    <t>(G) Restated Claim Liability as of Valuation Date ………………………………………………………………………………………………….</t>
  </si>
  <si>
    <t>(F) Claim Liability Remaining as of Runout Date = (D + E)  ………………………………………………………………………………………………….</t>
  </si>
  <si>
    <t>(C) Claim Liability Average Discount Factor (B / A) ……………………………………………………..</t>
  </si>
  <si>
    <t>(D) Interest Discount Factor (1 - C)  …………………………………………………………………………</t>
  </si>
  <si>
    <t>(F) Interest Discount (D * E)…………………………………………………………………………</t>
  </si>
  <si>
    <t>(G) Adjudication Expense Factor ……………………………………………………………………..</t>
  </si>
  <si>
    <t>(I) Adjusted Total Claim Liability  (E - F + H)…………………………………………………….</t>
  </si>
  <si>
    <t>Weighted</t>
  </si>
  <si>
    <t>Trended</t>
  </si>
  <si>
    <t>The Millennium-2000 Sample Life Insurance Company</t>
  </si>
  <si>
    <t>Liability Basis 'IBNR','IBNP'</t>
  </si>
  <si>
    <t>Total Incurred and Reported Claims</t>
  </si>
  <si>
    <t>NCCO for ExpPeriod</t>
  </si>
  <si>
    <t>(L) Percentage of Weighted Lives in force at the end of the month that are still in force as of the valuation date = (G) / (F)</t>
  </si>
  <si>
    <t>REFDATE (Inc)</t>
  </si>
  <si>
    <t>REPORTED CLAIMS / NUMBER OF MONTHS BETWEEN INCURRED AND REPORTED DATES</t>
  </si>
  <si>
    <t>TOTAL LIABILITY</t>
  </si>
  <si>
    <t>OBJECTID</t>
  </si>
  <si>
    <t>SRNO</t>
  </si>
  <si>
    <t>NAME</t>
  </si>
  <si>
    <t>ssss</t>
  </si>
  <si>
    <t>Arvind</t>
  </si>
  <si>
    <t>IBNR</t>
  </si>
  <si>
    <t>IBNP</t>
  </si>
  <si>
    <t>887523-4476395452341293-82637-02</t>
  </si>
  <si>
    <t>a0770-w2kp-engg</t>
  </si>
  <si>
    <t>wgates.csv</t>
  </si>
  <si>
    <t>Experience Period:  01-Aug-1998  to  31-Jul-2001.  Runout Date:  31-Jul-2001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</si>
</sst>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0.0%"/>
    <numFmt numFmtId="167" formatCode="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m/d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##0.00_);_(* \(###0.00\);_(* &quot;-&quot;??_);_(@_)"/>
    <numFmt numFmtId="179" formatCode="_(* ###0.000_);_(* \(###0.000\);_(* &quot;-&quot;??_);_(@_)"/>
    <numFmt numFmtId="180" formatCode="_(* ###0.0000_);_(* \(###0.0000\);_(* &quot;-&quot;??_);_(@_)"/>
    <numFmt numFmtId="181" formatCode="_(* ###0_);_(* \(###0\);_(* &quot;-&quot;??_);_(@_)"/>
    <numFmt numFmtId="182" formatCode="_(* #,##0.0000_);_(* \(#,##0.0000\);_(* &quot;-&quot;????_);_(@_)"/>
    <numFmt numFmtId="183" formatCode="_(* #,##0.00000_);_(* \(#,##0.00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\-mmm\-yyyy"/>
    <numFmt numFmtId="188" formatCode="_(* #,##0.000_);_(* \(#,##0.000\);_(* &quot;-&quot;???_);_(@_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_(&quot;$&quot;* #,##0_);[Red]_(&quot;$&quot;* \(#,##0\);_(&quot;$&quot;* &quot;-&quot;??_);_(@_)"/>
    <numFmt numFmtId="192" formatCode="_(* #,##0.000000_);_(* \(#,##0.000000\);_(* &quot;-&quot;??_);_(@_)"/>
    <numFmt numFmtId="193" formatCode="_(* #,##0.00000_);_(* \(#,##0.00000\);_(* &quot;-&quot;?????_);_(@_)"/>
    <numFmt numFmtId="194" formatCode="mm/dd/yy"/>
  </numFmts>
  <fonts count="33">
    <font>
      <sz val="10"/>
      <name val="Arial"/>
      <family val="0"/>
    </font>
    <font>
      <b/>
      <sz val="14"/>
      <name val="Arial"/>
      <family val="2"/>
    </font>
    <font>
      <sz val="12"/>
      <color indexed="43"/>
      <name val="Century Gothic"/>
      <family val="2"/>
    </font>
    <font>
      <sz val="10"/>
      <name val="Tahoma"/>
      <family val="2"/>
    </font>
    <font>
      <sz val="10"/>
      <color indexed="43"/>
      <name val="Tahoma"/>
      <family val="2"/>
    </font>
    <font>
      <b/>
      <sz val="12"/>
      <color indexed="56"/>
      <name val="Arial"/>
      <family val="2"/>
    </font>
    <font>
      <sz val="11"/>
      <color indexed="43"/>
      <name val="Tahoma"/>
      <family val="2"/>
    </font>
    <font>
      <sz val="10"/>
      <color indexed="41"/>
      <name val="Tahoma"/>
      <family val="2"/>
    </font>
    <font>
      <sz val="10"/>
      <color indexed="43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10"/>
      <color indexed="4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color indexed="41"/>
      <name val="Tahoma"/>
      <family val="2"/>
    </font>
    <font>
      <u val="single"/>
      <sz val="10"/>
      <color indexed="43"/>
      <name val="Tahoma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6"/>
      <name val="Tahoma"/>
      <family val="2"/>
    </font>
    <font>
      <sz val="8"/>
      <color indexed="56"/>
      <name val="Tahoma"/>
      <family val="2"/>
    </font>
    <font>
      <b/>
      <sz val="10"/>
      <color indexed="56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0"/>
      <color indexed="8"/>
      <name val="Tahoma"/>
      <family val="2"/>
    </font>
    <font>
      <sz val="8"/>
      <color indexed="18"/>
      <name val="Tahoma"/>
      <family val="2"/>
    </font>
    <font>
      <i/>
      <sz val="10"/>
      <name val="Arial"/>
      <family val="2"/>
    </font>
    <font>
      <i/>
      <sz val="8"/>
      <color indexed="5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vertical="center" wrapText="1"/>
    </xf>
    <xf numFmtId="10" fontId="0" fillId="2" borderId="0" xfId="22" applyNumberFormat="1" applyFill="1" applyAlignment="1">
      <alignment/>
    </xf>
    <xf numFmtId="0" fontId="0" fillId="2" borderId="1" xfId="0" applyFill="1" applyBorder="1" applyAlignment="1">
      <alignment/>
    </xf>
    <xf numFmtId="10" fontId="0" fillId="2" borderId="1" xfId="22" applyNumberFormat="1" applyFill="1" applyBorder="1" applyAlignment="1">
      <alignment/>
    </xf>
    <xf numFmtId="0" fontId="5" fillId="2" borderId="0" xfId="0" applyFont="1" applyFill="1" applyAlignment="1" applyProtection="1">
      <alignment horizontal="left" vertical="center"/>
      <protection hidden="1"/>
    </xf>
    <xf numFmtId="0" fontId="4" fillId="3" borderId="2" xfId="0" applyFont="1" applyFill="1" applyBorder="1" applyAlignment="1" quotePrefix="1">
      <alignment horizontal="centerContinuous" vertical="center" wrapText="1"/>
    </xf>
    <xf numFmtId="0" fontId="4" fillId="3" borderId="3" xfId="0" applyFont="1" applyFill="1" applyBorder="1" applyAlignment="1" quotePrefix="1">
      <alignment horizontal="centerContinuous" vertical="center" wrapText="1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0" fillId="2" borderId="0" xfId="15" applyFill="1" applyAlignment="1">
      <alignment/>
    </xf>
    <xf numFmtId="0" fontId="4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43" fontId="0" fillId="2" borderId="1" xfId="15" applyFill="1" applyBorder="1" applyAlignment="1">
      <alignment/>
    </xf>
    <xf numFmtId="43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9" fillId="2" borderId="0" xfId="0" applyFont="1" applyFill="1" applyAlignment="1" applyProtection="1">
      <alignment horizontal="left" vertical="center"/>
      <protection hidden="1"/>
    </xf>
    <xf numFmtId="174" fontId="0" fillId="2" borderId="0" xfId="0" applyNumberFormat="1" applyFill="1" applyAlignment="1">
      <alignment/>
    </xf>
    <xf numFmtId="0" fontId="4" fillId="3" borderId="14" xfId="0" applyFont="1" applyFill="1" applyBorder="1" applyAlignment="1">
      <alignment horizontal="centerContinuous" vertical="center" wrapText="1"/>
    </xf>
    <xf numFmtId="177" fontId="0" fillId="2" borderId="0" xfId="15" applyNumberFormat="1" applyFill="1" applyAlignment="1">
      <alignment/>
    </xf>
    <xf numFmtId="43" fontId="0" fillId="4" borderId="0" xfId="15" applyFont="1" applyFill="1" applyBorder="1" applyAlignment="1">
      <alignment/>
    </xf>
    <xf numFmtId="177" fontId="0" fillId="2" borderId="1" xfId="15" applyNumberFormat="1" applyFill="1" applyBorder="1" applyAlignment="1">
      <alignment/>
    </xf>
    <xf numFmtId="0" fontId="6" fillId="3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4" fillId="3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/>
    </xf>
    <xf numFmtId="175" fontId="0" fillId="2" borderId="0" xfId="0" applyNumberFormat="1" applyFill="1" applyAlignment="1">
      <alignment/>
    </xf>
    <xf numFmtId="175" fontId="0" fillId="2" borderId="0" xfId="0" applyNumberFormat="1" applyFont="1" applyFill="1" applyAlignment="1">
      <alignment/>
    </xf>
    <xf numFmtId="0" fontId="7" fillId="3" borderId="14" xfId="0" applyFont="1" applyFill="1" applyBorder="1" applyAlignment="1">
      <alignment horizontal="centerContinuous" vertical="center" wrapText="1"/>
    </xf>
    <xf numFmtId="0" fontId="7" fillId="3" borderId="2" xfId="0" applyFont="1" applyFill="1" applyBorder="1" applyAlignment="1">
      <alignment horizontal="centerContinuous" vertical="center" wrapText="1"/>
    </xf>
    <xf numFmtId="0" fontId="7" fillId="3" borderId="3" xfId="0" applyFont="1" applyFill="1" applyBorder="1" applyAlignment="1">
      <alignment horizontal="centerContinuous" vertical="center" wrapText="1"/>
    </xf>
    <xf numFmtId="0" fontId="12" fillId="2" borderId="0" xfId="0" applyFont="1" applyFill="1" applyAlignment="1">
      <alignment horizontal="right"/>
    </xf>
    <xf numFmtId="43" fontId="0" fillId="2" borderId="0" xfId="15" applyFill="1" applyAlignment="1">
      <alignment/>
    </xf>
    <xf numFmtId="177" fontId="0" fillId="2" borderId="0" xfId="15" applyNumberFormat="1" applyFill="1" applyAlignment="1">
      <alignment/>
    </xf>
    <xf numFmtId="43" fontId="0" fillId="2" borderId="1" xfId="0" applyNumberFormat="1" applyFill="1" applyBorder="1" applyAlignment="1">
      <alignment/>
    </xf>
    <xf numFmtId="0" fontId="11" fillId="2" borderId="6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3" fillId="2" borderId="7" xfId="21" applyFont="1" applyFill="1" applyBorder="1" applyAlignment="1">
      <alignment horizontal="right"/>
      <protection/>
    </xf>
    <xf numFmtId="0" fontId="11" fillId="2" borderId="7" xfId="0" applyFont="1" applyFill="1" applyBorder="1" applyAlignment="1">
      <alignment horizontal="right"/>
    </xf>
    <xf numFmtId="43" fontId="0" fillId="2" borderId="1" xfId="15" applyFill="1" applyBorder="1" applyAlignment="1">
      <alignment/>
    </xf>
    <xf numFmtId="43" fontId="0" fillId="2" borderId="0" xfId="15" applyNumberFormat="1" applyFont="1" applyFill="1" applyAlignment="1">
      <alignment/>
    </xf>
    <xf numFmtId="43" fontId="0" fillId="2" borderId="0" xfId="15" applyFont="1" applyFill="1" applyBorder="1" applyAlignment="1">
      <alignment/>
    </xf>
    <xf numFmtId="44" fontId="0" fillId="2" borderId="0" xfId="17" applyFont="1" applyFill="1" applyBorder="1" applyAlignment="1">
      <alignment/>
    </xf>
    <xf numFmtId="43" fontId="17" fillId="2" borderId="0" xfId="15" applyNumberFormat="1" applyFont="1" applyFill="1" applyAlignment="1">
      <alignment/>
    </xf>
    <xf numFmtId="164" fontId="0" fillId="2" borderId="1" xfId="0" applyNumberForma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77" fontId="0" fillId="2" borderId="0" xfId="15" applyNumberFormat="1" applyFill="1" applyAlignment="1">
      <alignment horizontal="right"/>
    </xf>
    <xf numFmtId="177" fontId="0" fillId="2" borderId="0" xfId="15" applyNumberFormat="1" applyFont="1" applyFill="1" applyAlignment="1">
      <alignment/>
    </xf>
    <xf numFmtId="176" fontId="0" fillId="2" borderId="0" xfId="15" applyNumberFormat="1" applyFill="1" applyAlignment="1">
      <alignment/>
    </xf>
    <xf numFmtId="176" fontId="0" fillId="2" borderId="0" xfId="0" applyNumberFormat="1" applyFill="1" applyAlignment="1">
      <alignment/>
    </xf>
    <xf numFmtId="176" fontId="0" fillId="2" borderId="1" xfId="15" applyNumberFormat="1" applyFill="1" applyBorder="1" applyAlignment="1">
      <alignment/>
    </xf>
    <xf numFmtId="176" fontId="0" fillId="2" borderId="0" xfId="15" applyNumberFormat="1" applyFill="1" applyAlignment="1">
      <alignment/>
    </xf>
    <xf numFmtId="176" fontId="0" fillId="2" borderId="0" xfId="15" applyNumberFormat="1" applyFont="1" applyFill="1" applyAlignment="1">
      <alignment/>
    </xf>
    <xf numFmtId="176" fontId="17" fillId="2" borderId="1" xfId="0" applyNumberFormat="1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8" fillId="3" borderId="14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 vertical="center" wrapText="1"/>
    </xf>
    <xf numFmtId="190" fontId="0" fillId="2" borderId="0" xfId="17" applyNumberFormat="1" applyFill="1" applyAlignment="1">
      <alignment/>
    </xf>
    <xf numFmtId="176" fontId="0" fillId="2" borderId="1" xfId="0" applyNumberFormat="1" applyFon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15" applyNumberFormat="1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176" fontId="0" fillId="2" borderId="9" xfId="15" applyNumberFormat="1" applyFill="1" applyBorder="1" applyAlignment="1">
      <alignment/>
    </xf>
    <xf numFmtId="43" fontId="0" fillId="2" borderId="9" xfId="15" applyFill="1" applyBorder="1" applyAlignment="1">
      <alignment/>
    </xf>
    <xf numFmtId="0" fontId="17" fillId="2" borderId="4" xfId="0" applyFont="1" applyFill="1" applyBorder="1" applyAlignment="1">
      <alignment horizontal="center"/>
    </xf>
    <xf numFmtId="14" fontId="23" fillId="2" borderId="0" xfId="0" applyNumberFormat="1" applyFont="1" applyFill="1" applyAlignment="1">
      <alignment/>
    </xf>
    <xf numFmtId="176" fontId="0" fillId="2" borderId="6" xfId="15" applyNumberFormat="1" applyFill="1" applyBorder="1" applyAlignment="1">
      <alignment/>
    </xf>
    <xf numFmtId="176" fontId="0" fillId="2" borderId="7" xfId="15" applyNumberFormat="1" applyFill="1" applyBorder="1" applyAlignment="1">
      <alignment/>
    </xf>
    <xf numFmtId="176" fontId="0" fillId="2" borderId="8" xfId="15" applyNumberFormat="1" applyFill="1" applyBorder="1" applyAlignment="1">
      <alignment/>
    </xf>
    <xf numFmtId="176" fontId="0" fillId="2" borderId="0" xfId="15" applyNumberFormat="1" applyFill="1" applyBorder="1" applyAlignment="1">
      <alignment/>
    </xf>
    <xf numFmtId="176" fontId="0" fillId="2" borderId="10" xfId="15" applyNumberFormat="1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10" xfId="15" applyFill="1" applyBorder="1" applyAlignment="1">
      <alignment/>
    </xf>
    <xf numFmtId="177" fontId="0" fillId="2" borderId="12" xfId="15" applyNumberFormat="1" applyFill="1" applyBorder="1" applyAlignment="1">
      <alignment/>
    </xf>
    <xf numFmtId="176" fontId="17" fillId="2" borderId="0" xfId="0" applyNumberFormat="1" applyFont="1" applyFill="1" applyAlignment="1">
      <alignment/>
    </xf>
    <xf numFmtId="190" fontId="0" fillId="2" borderId="0" xfId="17" applyNumberFormat="1" applyFont="1" applyFill="1" applyAlignment="1">
      <alignment/>
    </xf>
    <xf numFmtId="43" fontId="0" fillId="2" borderId="0" xfId="15" applyFont="1" applyFill="1" applyAlignment="1">
      <alignment/>
    </xf>
    <xf numFmtId="43" fontId="17" fillId="2" borderId="0" xfId="15" applyFont="1" applyFill="1" applyAlignment="1">
      <alignment/>
    </xf>
    <xf numFmtId="190" fontId="0" fillId="2" borderId="0" xfId="17" applyNumberFormat="1" applyFont="1" applyFill="1" applyBorder="1" applyAlignment="1">
      <alignment/>
    </xf>
    <xf numFmtId="190" fontId="0" fillId="2" borderId="0" xfId="0" applyNumberFormat="1" applyFill="1" applyBorder="1" applyAlignment="1">
      <alignment/>
    </xf>
    <xf numFmtId="10" fontId="0" fillId="2" borderId="0" xfId="22" applyNumberFormat="1" applyFont="1" applyFill="1" applyBorder="1" applyAlignment="1">
      <alignment/>
    </xf>
    <xf numFmtId="176" fontId="0" fillId="2" borderId="0" xfId="15" applyNumberFormat="1" applyFont="1" applyFill="1" applyBorder="1" applyAlignment="1">
      <alignment/>
    </xf>
    <xf numFmtId="176" fontId="17" fillId="2" borderId="1" xfId="15" applyNumberFormat="1" applyFont="1" applyFill="1" applyBorder="1" applyAlignment="1">
      <alignment/>
    </xf>
    <xf numFmtId="43" fontId="17" fillId="2" borderId="1" xfId="15" applyNumberFormat="1" applyFont="1" applyFill="1" applyBorder="1" applyAlignment="1">
      <alignment/>
    </xf>
    <xf numFmtId="176" fontId="0" fillId="2" borderId="10" xfId="15" applyNumberFormat="1" applyFont="1" applyFill="1" applyBorder="1" applyAlignment="1">
      <alignment/>
    </xf>
    <xf numFmtId="175" fontId="0" fillId="2" borderId="12" xfId="15" applyNumberFormat="1" applyFill="1" applyBorder="1" applyAlignment="1">
      <alignment/>
    </xf>
    <xf numFmtId="175" fontId="0" fillId="2" borderId="13" xfId="15" applyNumberFormat="1" applyFill="1" applyBorder="1" applyAlignment="1">
      <alignment/>
    </xf>
    <xf numFmtId="9" fontId="0" fillId="2" borderId="0" xfId="22" applyFill="1" applyAlignment="1">
      <alignment/>
    </xf>
    <xf numFmtId="9" fontId="4" fillId="3" borderId="4" xfId="22" applyFont="1" applyFill="1" applyBorder="1" applyAlignment="1">
      <alignment horizontal="centerContinuous" vertical="center" wrapText="1"/>
    </xf>
    <xf numFmtId="9" fontId="0" fillId="2" borderId="1" xfId="22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14" xfId="0" applyFont="1" applyFill="1" applyBorder="1" applyAlignment="1">
      <alignment horizontal="right"/>
    </xf>
    <xf numFmtId="164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164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NumberFormat="1" applyFill="1" applyBorder="1" applyAlignment="1">
      <alignment/>
    </xf>
    <xf numFmtId="176" fontId="0" fillId="2" borderId="12" xfId="15" applyNumberFormat="1" applyFill="1" applyBorder="1" applyAlignment="1">
      <alignment/>
    </xf>
    <xf numFmtId="176" fontId="0" fillId="2" borderId="13" xfId="15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0" fillId="2" borderId="0" xfId="0" applyNumberFormat="1" applyFill="1" applyAlignment="1">
      <alignment/>
    </xf>
    <xf numFmtId="168" fontId="0" fillId="2" borderId="1" xfId="0" applyNumberFormat="1" applyFill="1" applyBorder="1" applyAlignment="1">
      <alignment/>
    </xf>
    <xf numFmtId="177" fontId="0" fillId="2" borderId="0" xfId="15" applyNumberFormat="1" applyFont="1" applyFill="1" applyBorder="1" applyAlignment="1">
      <alignment/>
    </xf>
    <xf numFmtId="0" fontId="0" fillId="2" borderId="0" xfId="0" applyFill="1" applyAlignment="1" quotePrefix="1">
      <alignment/>
    </xf>
    <xf numFmtId="176" fontId="3" fillId="2" borderId="0" xfId="0" applyNumberFormat="1" applyFont="1" applyFill="1" applyAlignment="1">
      <alignment/>
    </xf>
    <xf numFmtId="0" fontId="25" fillId="2" borderId="0" xfId="0" applyFont="1" applyFill="1" applyAlignment="1" applyProtection="1">
      <alignment horizontal="left" vertical="center"/>
      <protection hidden="1"/>
    </xf>
    <xf numFmtId="0" fontId="4" fillId="3" borderId="14" xfId="0" applyFont="1" applyFill="1" applyBorder="1" applyAlignment="1">
      <alignment horizontal="left" vertical="center"/>
    </xf>
    <xf numFmtId="0" fontId="25" fillId="2" borderId="0" xfId="0" applyFont="1" applyFill="1" applyAlignment="1" quotePrefix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right"/>
    </xf>
    <xf numFmtId="0" fontId="4" fillId="3" borderId="14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right"/>
    </xf>
    <xf numFmtId="9" fontId="3" fillId="2" borderId="0" xfId="22" applyFont="1" applyFill="1" applyAlignment="1">
      <alignment/>
    </xf>
    <xf numFmtId="0" fontId="1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176" fontId="12" fillId="0" borderId="14" xfId="15" applyNumberFormat="1" applyFont="1" applyFill="1" applyBorder="1" applyAlignment="1" applyProtection="1">
      <alignment horizontal="right"/>
      <protection locked="0"/>
    </xf>
    <xf numFmtId="176" fontId="11" fillId="2" borderId="14" xfId="15" applyNumberFormat="1" applyFont="1" applyFill="1" applyBorder="1" applyAlignment="1" applyProtection="1">
      <alignment horizontal="right"/>
      <protection/>
    </xf>
    <xf numFmtId="0" fontId="11" fillId="2" borderId="6" xfId="0" applyFont="1" applyFill="1" applyBorder="1" applyAlignment="1" applyProtection="1">
      <alignment horizontal="right"/>
      <protection/>
    </xf>
    <xf numFmtId="0" fontId="11" fillId="2" borderId="8" xfId="0" applyFont="1" applyFill="1" applyBorder="1" applyAlignment="1" applyProtection="1">
      <alignment horizontal="right"/>
      <protection/>
    </xf>
    <xf numFmtId="0" fontId="11" fillId="2" borderId="14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/>
      <protection/>
    </xf>
    <xf numFmtId="15" fontId="12" fillId="2" borderId="3" xfId="0" applyNumberFormat="1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2" borderId="0" xfId="0" applyNumberFormat="1" applyFill="1" applyBorder="1" applyAlignment="1">
      <alignment/>
    </xf>
    <xf numFmtId="168" fontId="0" fillId="2" borderId="0" xfId="0" applyNumberFormat="1" applyFill="1" applyAlignment="1" quotePrefix="1">
      <alignment/>
    </xf>
    <xf numFmtId="0" fontId="17" fillId="2" borderId="0" xfId="0" applyFont="1" applyFill="1" applyAlignment="1">
      <alignment/>
    </xf>
    <xf numFmtId="191" fontId="17" fillId="2" borderId="0" xfId="0" applyNumberFormat="1" applyFont="1" applyFill="1" applyBorder="1" applyAlignment="1">
      <alignment/>
    </xf>
    <xf numFmtId="190" fontId="17" fillId="2" borderId="0" xfId="0" applyNumberFormat="1" applyFont="1" applyFill="1" applyAlignment="1">
      <alignment/>
    </xf>
    <xf numFmtId="0" fontId="17" fillId="2" borderId="2" xfId="0" applyFont="1" applyFill="1" applyBorder="1" applyAlignment="1">
      <alignment/>
    </xf>
    <xf numFmtId="191" fontId="17" fillId="2" borderId="2" xfId="0" applyNumberFormat="1" applyFont="1" applyFill="1" applyBorder="1" applyAlignment="1">
      <alignment/>
    </xf>
    <xf numFmtId="177" fontId="0" fillId="2" borderId="0" xfId="15" applyNumberFormat="1" applyFill="1" applyBorder="1" applyAlignment="1">
      <alignment/>
    </xf>
    <xf numFmtId="176" fontId="0" fillId="2" borderId="6" xfId="15" applyNumberFormat="1" applyFill="1" applyBorder="1" applyAlignment="1">
      <alignment/>
    </xf>
    <xf numFmtId="177" fontId="0" fillId="2" borderId="7" xfId="15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9" xfId="15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9" xfId="15" applyNumberFormat="1" applyFill="1" applyBorder="1" applyAlignment="1">
      <alignment/>
    </xf>
    <xf numFmtId="176" fontId="0" fillId="2" borderId="9" xfId="15" applyNumberFormat="1" applyFont="1" applyFill="1" applyBorder="1" applyAlignment="1">
      <alignment/>
    </xf>
    <xf numFmtId="176" fontId="0" fillId="2" borderId="10" xfId="0" applyNumberFormat="1" applyFont="1" applyFill="1" applyBorder="1" applyAlignment="1">
      <alignment/>
    </xf>
    <xf numFmtId="176" fontId="0" fillId="2" borderId="15" xfId="0" applyNumberFormat="1" applyFont="1" applyFill="1" applyBorder="1" applyAlignment="1">
      <alignment/>
    </xf>
    <xf numFmtId="176" fontId="0" fillId="2" borderId="16" xfId="0" applyNumberFormat="1" applyFont="1" applyFill="1" applyBorder="1" applyAlignment="1">
      <alignment/>
    </xf>
    <xf numFmtId="177" fontId="0" fillId="2" borderId="6" xfId="0" applyNumberFormat="1" applyFill="1" applyBorder="1" applyAlignment="1">
      <alignment/>
    </xf>
    <xf numFmtId="176" fontId="0" fillId="2" borderId="7" xfId="15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6" fontId="0" fillId="2" borderId="0" xfId="15" applyNumberFormat="1" applyFill="1" applyBorder="1" applyAlignment="1">
      <alignment/>
    </xf>
    <xf numFmtId="177" fontId="0" fillId="2" borderId="10" xfId="0" applyNumberForma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176" fontId="0" fillId="2" borderId="0" xfId="15" applyNumberFormat="1" applyFont="1" applyFill="1" applyBorder="1" applyAlignment="1">
      <alignment/>
    </xf>
    <xf numFmtId="177" fontId="0" fillId="2" borderId="1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177" fontId="0" fillId="2" borderId="16" xfId="0" applyNumberFormat="1" applyFill="1" applyBorder="1" applyAlignment="1">
      <alignment horizontal="left" indent="1"/>
    </xf>
    <xf numFmtId="9" fontId="0" fillId="2" borderId="0" xfId="22" applyFill="1" applyBorder="1" applyAlignment="1">
      <alignment/>
    </xf>
    <xf numFmtId="190" fontId="0" fillId="2" borderId="0" xfId="22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17" fillId="2" borderId="9" xfId="0" applyNumberFormat="1" applyFont="1" applyFill="1" applyBorder="1" applyAlignment="1">
      <alignment/>
    </xf>
    <xf numFmtId="176" fontId="17" fillId="2" borderId="15" xfId="15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176" fontId="17" fillId="2" borderId="16" xfId="15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15" applyNumberFormat="1" applyFill="1" applyAlignment="1">
      <alignment/>
    </xf>
    <xf numFmtId="177" fontId="0" fillId="2" borderId="0" xfId="15" applyNumberFormat="1" applyFont="1" applyFill="1" applyAlignment="1">
      <alignment horizontal="left"/>
    </xf>
    <xf numFmtId="0" fontId="12" fillId="2" borderId="10" xfId="0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 applyProtection="1">
      <alignment horizontal="right"/>
      <protection locked="0"/>
    </xf>
    <xf numFmtId="0" fontId="12" fillId="2" borderId="12" xfId="0" applyFont="1" applyFill="1" applyBorder="1" applyAlignment="1" applyProtection="1">
      <alignment/>
      <protection locked="0"/>
    </xf>
    <xf numFmtId="0" fontId="12" fillId="2" borderId="17" xfId="0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 applyProtection="1">
      <alignment/>
      <protection locked="0"/>
    </xf>
    <xf numFmtId="0" fontId="11" fillId="2" borderId="10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14" fontId="12" fillId="2" borderId="7" xfId="0" applyNumberFormat="1" applyFont="1" applyFill="1" applyBorder="1" applyAlignment="1">
      <alignment horizontal="right"/>
    </xf>
    <xf numFmtId="14" fontId="12" fillId="2" borderId="0" xfId="0" applyNumberFormat="1" applyFont="1" applyFill="1" applyAlignment="1">
      <alignment horizontal="right"/>
    </xf>
    <xf numFmtId="0" fontId="0" fillId="2" borderId="0" xfId="0" applyFill="1" applyAlignment="1" applyProtection="1">
      <alignment/>
      <protection locked="0"/>
    </xf>
    <xf numFmtId="194" fontId="0" fillId="2" borderId="0" xfId="0" applyNumberFormat="1" applyFill="1" applyAlignment="1">
      <alignment/>
    </xf>
    <xf numFmtId="14" fontId="0" fillId="2" borderId="0" xfId="15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quotePrefix="1">
      <alignment horizontal="center" vertical="center" wrapText="1"/>
    </xf>
    <xf numFmtId="0" fontId="4" fillId="3" borderId="5" xfId="0" applyFont="1" applyFill="1" applyBorder="1" applyAlignment="1" quotePrefix="1">
      <alignment horizontal="center" vertical="center" wrapText="1"/>
    </xf>
    <xf numFmtId="49" fontId="12" fillId="2" borderId="0" xfId="0" applyNumberFormat="1" applyFont="1" applyFill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aim lag dum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552450</xdr:colOff>
      <xdr:row>0</xdr:row>
      <xdr:rowOff>76200</xdr:rowOff>
    </xdr:from>
    <xdr:to>
      <xdr:col>10</xdr:col>
      <xdr:colOff>609600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620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771525</xdr:colOff>
      <xdr:row>0</xdr:row>
      <xdr:rowOff>76200</xdr:rowOff>
    </xdr:from>
    <xdr:to>
      <xdr:col>9</xdr:col>
      <xdr:colOff>828675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620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</xdr:colOff>
      <xdr:row>0</xdr:row>
      <xdr:rowOff>76200</xdr:rowOff>
    </xdr:from>
    <xdr:to>
      <xdr:col>10</xdr:col>
      <xdr:colOff>95250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620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0</xdr:row>
      <xdr:rowOff>76200</xdr:rowOff>
    </xdr:from>
    <xdr:to>
      <xdr:col>10</xdr:col>
      <xdr:colOff>314325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620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523875</xdr:colOff>
      <xdr:row>0</xdr:row>
      <xdr:rowOff>76200</xdr:rowOff>
    </xdr:from>
    <xdr:to>
      <xdr:col>9</xdr:col>
      <xdr:colOff>581025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76200</xdr:rowOff>
    </xdr:from>
    <xdr:to>
      <xdr:col>7</xdr:col>
      <xdr:colOff>990600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620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114300</xdr:colOff>
      <xdr:row>0</xdr:row>
      <xdr:rowOff>76200</xdr:rowOff>
    </xdr:from>
    <xdr:to>
      <xdr:col>11</xdr:col>
      <xdr:colOff>409575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620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16</xdr:row>
      <xdr:rowOff>123825</xdr:rowOff>
    </xdr:from>
    <xdr:to>
      <xdr:col>9</xdr:col>
      <xdr:colOff>209550</xdr:colOff>
      <xdr:row>18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0956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278srv\D\WINNT\Profiles\msmith\Temporary%20Internet%20Files\OLK6\Data\WinRRS\_latest_versions\ClaimLiab1204%20V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278srv\D\WINNT\Profiles\msmith\Temporary%20Internet%20Files\OLK6\Data\errs%20reports\Reports\specs\Reports\clm%20liab%20rep\BlkClmLiab%20m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ock Claim Liability"/>
      <sheetName val="Claim Lag Triangle"/>
      <sheetName val="Weighted NCC0"/>
      <sheetName val="Rep4 - Block Exposure"/>
      <sheetName val="Trend"/>
      <sheetName val="Other Data"/>
      <sheetName val="RestatedLiabili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ump"/>
      <sheetName val="reported claim lag dump"/>
      <sheetName val="paid claim lag dump"/>
      <sheetName val="exposure dump"/>
      <sheetName val="ncco dump"/>
      <sheetName val="Block Exposure"/>
      <sheetName val="Rep Claim Lag Triangle"/>
      <sheetName val="Paid Clm Lag Triangle"/>
      <sheetName val="Incurred Claims"/>
      <sheetName val="Claim Liability"/>
      <sheetName val="Claim Cost"/>
      <sheetName val="Weighted NCC0"/>
      <sheetName val="Output"/>
    </sheetNames>
    <sheetDataSet>
      <sheetData sheetId="3">
        <row r="3">
          <cell r="B3">
            <v>36069</v>
          </cell>
          <cell r="C3">
            <v>1452</v>
          </cell>
          <cell r="D3">
            <v>42.82</v>
          </cell>
          <cell r="E3">
            <v>34.54</v>
          </cell>
          <cell r="F3">
            <v>1590.73</v>
          </cell>
          <cell r="G3">
            <v>1616.41</v>
          </cell>
          <cell r="H3">
            <v>2169.97</v>
          </cell>
          <cell r="I3">
            <v>1018.9</v>
          </cell>
        </row>
        <row r="4">
          <cell r="B4">
            <v>36100</v>
          </cell>
          <cell r="C4">
            <v>1479</v>
          </cell>
          <cell r="D4">
            <v>59.57</v>
          </cell>
          <cell r="E4">
            <v>14.67</v>
          </cell>
          <cell r="F4">
            <v>1636.9</v>
          </cell>
          <cell r="G4">
            <v>1648.71</v>
          </cell>
          <cell r="H4">
            <v>2221.6</v>
          </cell>
          <cell r="I4">
            <v>1045.87</v>
          </cell>
        </row>
        <row r="5">
          <cell r="B5">
            <v>36130</v>
          </cell>
          <cell r="C5">
            <v>1505</v>
          </cell>
          <cell r="D5">
            <v>43.3</v>
          </cell>
          <cell r="E5">
            <v>25.86</v>
          </cell>
          <cell r="F5">
            <v>1656.18</v>
          </cell>
          <cell r="G5">
            <v>1674.85</v>
          </cell>
          <cell r="H5">
            <v>2271.47</v>
          </cell>
          <cell r="I5">
            <v>1063.94</v>
          </cell>
        </row>
        <row r="6">
          <cell r="B6">
            <v>36161</v>
          </cell>
          <cell r="C6">
            <v>1510</v>
          </cell>
          <cell r="D6">
            <v>27.63</v>
          </cell>
          <cell r="E6">
            <v>28.56</v>
          </cell>
          <cell r="F6">
            <v>1657.04</v>
          </cell>
          <cell r="G6">
            <v>1685.56</v>
          </cell>
          <cell r="H6">
            <v>2302.04</v>
          </cell>
          <cell r="I6">
            <v>1070.71</v>
          </cell>
        </row>
        <row r="7">
          <cell r="B7">
            <v>36192</v>
          </cell>
          <cell r="C7">
            <v>1501</v>
          </cell>
          <cell r="D7">
            <v>23.47</v>
          </cell>
          <cell r="E7">
            <v>13.06</v>
          </cell>
          <cell r="F7">
            <v>1669.48</v>
          </cell>
          <cell r="G7">
            <v>1679.41</v>
          </cell>
          <cell r="H7">
            <v>2310.9</v>
          </cell>
          <cell r="I7">
            <v>1081.12</v>
          </cell>
        </row>
        <row r="8">
          <cell r="B8">
            <v>36220</v>
          </cell>
          <cell r="C8">
            <v>1509</v>
          </cell>
          <cell r="D8">
            <v>21.07</v>
          </cell>
          <cell r="E8">
            <v>25.95</v>
          </cell>
          <cell r="F8">
            <v>1666.36</v>
          </cell>
          <cell r="G8">
            <v>1689.4</v>
          </cell>
          <cell r="H8">
            <v>2341.94</v>
          </cell>
          <cell r="I8">
            <v>1090.99</v>
          </cell>
        </row>
        <row r="9">
          <cell r="B9">
            <v>36251</v>
          </cell>
          <cell r="C9">
            <v>1554</v>
          </cell>
          <cell r="D9">
            <v>60.43</v>
          </cell>
          <cell r="E9">
            <v>41.35</v>
          </cell>
          <cell r="F9">
            <v>1696.94</v>
          </cell>
          <cell r="G9">
            <v>1735.91</v>
          </cell>
          <cell r="H9">
            <v>2415.36</v>
          </cell>
          <cell r="I9">
            <v>1133.08</v>
          </cell>
        </row>
        <row r="10">
          <cell r="B10">
            <v>36281</v>
          </cell>
          <cell r="C10">
            <v>1543</v>
          </cell>
          <cell r="D10">
            <v>38.56</v>
          </cell>
          <cell r="E10">
            <v>44.42</v>
          </cell>
          <cell r="F10">
            <v>1699.39</v>
          </cell>
          <cell r="G10">
            <v>1740.8</v>
          </cell>
          <cell r="H10">
            <v>2433.29</v>
          </cell>
          <cell r="I10">
            <v>1151.05</v>
          </cell>
        </row>
        <row r="11">
          <cell r="B11">
            <v>36312</v>
          </cell>
          <cell r="C11">
            <v>1527</v>
          </cell>
          <cell r="D11">
            <v>25.54</v>
          </cell>
          <cell r="E11">
            <v>27.89</v>
          </cell>
          <cell r="F11">
            <v>1653.06</v>
          </cell>
          <cell r="G11">
            <v>1680.93</v>
          </cell>
          <cell r="H11">
            <v>2360.64</v>
          </cell>
          <cell r="I11">
            <v>1134.56</v>
          </cell>
        </row>
        <row r="12">
          <cell r="B12">
            <v>36342</v>
          </cell>
          <cell r="C12">
            <v>1521</v>
          </cell>
          <cell r="D12">
            <v>25.73</v>
          </cell>
          <cell r="E12">
            <v>29.6</v>
          </cell>
          <cell r="F12">
            <v>1635.78</v>
          </cell>
          <cell r="G12">
            <v>1664.53</v>
          </cell>
          <cell r="H12">
            <v>2349.19</v>
          </cell>
          <cell r="I12">
            <v>1134.77</v>
          </cell>
        </row>
        <row r="13">
          <cell r="B13">
            <v>36373</v>
          </cell>
          <cell r="C13">
            <v>1585</v>
          </cell>
          <cell r="D13">
            <v>87.15</v>
          </cell>
          <cell r="E13">
            <v>29.72</v>
          </cell>
          <cell r="F13">
            <v>1690.95</v>
          </cell>
          <cell r="G13">
            <v>1713.56</v>
          </cell>
          <cell r="H13">
            <v>2407.81</v>
          </cell>
          <cell r="I13">
            <v>1183.03</v>
          </cell>
        </row>
        <row r="14">
          <cell r="B14">
            <v>36404</v>
          </cell>
          <cell r="C14">
            <v>1595</v>
          </cell>
          <cell r="D14">
            <v>29.15</v>
          </cell>
          <cell r="E14">
            <v>25.21</v>
          </cell>
          <cell r="F14">
            <v>1673.88</v>
          </cell>
          <cell r="G14">
            <v>1698.92</v>
          </cell>
          <cell r="H14">
            <v>2396.04</v>
          </cell>
          <cell r="I14">
            <v>1180.99</v>
          </cell>
        </row>
        <row r="15">
          <cell r="B15">
            <v>36434</v>
          </cell>
          <cell r="C15">
            <v>1586</v>
          </cell>
          <cell r="D15">
            <v>14.45</v>
          </cell>
          <cell r="E15">
            <v>32.93</v>
          </cell>
          <cell r="F15">
            <v>1658.48</v>
          </cell>
          <cell r="G15">
            <v>1690.83</v>
          </cell>
          <cell r="H15">
            <v>2397.96</v>
          </cell>
          <cell r="I15">
            <v>1190.82</v>
          </cell>
        </row>
        <row r="16">
          <cell r="B16">
            <v>36465</v>
          </cell>
          <cell r="C16">
            <v>1622</v>
          </cell>
          <cell r="D16">
            <v>45.67</v>
          </cell>
          <cell r="E16">
            <v>14.3</v>
          </cell>
          <cell r="F16">
            <v>1666.84</v>
          </cell>
          <cell r="G16">
            <v>1680.13</v>
          </cell>
          <cell r="H16">
            <v>2388.11</v>
          </cell>
          <cell r="I16">
            <v>1209.56</v>
          </cell>
        </row>
        <row r="17">
          <cell r="B17">
            <v>36495</v>
          </cell>
          <cell r="C17">
            <v>1629</v>
          </cell>
          <cell r="D17">
            <v>24.09</v>
          </cell>
          <cell r="E17">
            <v>43.41</v>
          </cell>
          <cell r="F17">
            <v>1651.35</v>
          </cell>
          <cell r="G17">
            <v>1692.31</v>
          </cell>
          <cell r="H17">
            <v>2416.98</v>
          </cell>
          <cell r="I17">
            <v>1224.57</v>
          </cell>
        </row>
        <row r="18">
          <cell r="B18">
            <v>36526</v>
          </cell>
          <cell r="C18">
            <v>1626</v>
          </cell>
          <cell r="D18">
            <v>36.17</v>
          </cell>
          <cell r="E18">
            <v>26.75</v>
          </cell>
          <cell r="F18">
            <v>1644.48</v>
          </cell>
          <cell r="G18">
            <v>1670.44</v>
          </cell>
          <cell r="H18">
            <v>2391.72</v>
          </cell>
          <cell r="I18">
            <v>1225.38</v>
          </cell>
        </row>
        <row r="19">
          <cell r="B19">
            <v>36557</v>
          </cell>
          <cell r="C19">
            <v>1625</v>
          </cell>
          <cell r="D19">
            <v>23.04</v>
          </cell>
          <cell r="E19">
            <v>32.97</v>
          </cell>
          <cell r="F19">
            <v>1622.06</v>
          </cell>
          <cell r="G19">
            <v>1653.22</v>
          </cell>
          <cell r="H19">
            <v>2375.41</v>
          </cell>
          <cell r="I19">
            <v>1229.81</v>
          </cell>
        </row>
        <row r="20">
          <cell r="B20">
            <v>36586</v>
          </cell>
          <cell r="C20">
            <v>1626</v>
          </cell>
          <cell r="D20">
            <v>30.97</v>
          </cell>
          <cell r="E20">
            <v>27.41</v>
          </cell>
          <cell r="F20">
            <v>1621.04</v>
          </cell>
          <cell r="G20">
            <v>1645.44</v>
          </cell>
          <cell r="H20">
            <v>2371.82</v>
          </cell>
          <cell r="I20">
            <v>1236.39</v>
          </cell>
        </row>
        <row r="21">
          <cell r="B21">
            <v>36617</v>
          </cell>
          <cell r="C21">
            <v>1639</v>
          </cell>
          <cell r="D21">
            <v>36.33</v>
          </cell>
          <cell r="E21">
            <v>34.05</v>
          </cell>
          <cell r="F21">
            <v>1615.72</v>
          </cell>
          <cell r="G21">
            <v>1649.47</v>
          </cell>
          <cell r="H21">
            <v>2382.24</v>
          </cell>
          <cell r="I21">
            <v>1241.03</v>
          </cell>
        </row>
        <row r="22">
          <cell r="B22">
            <v>36647</v>
          </cell>
          <cell r="C22">
            <v>1653</v>
          </cell>
          <cell r="D22">
            <v>39.96</v>
          </cell>
          <cell r="E22">
            <v>28.18</v>
          </cell>
          <cell r="F22">
            <v>1593.43</v>
          </cell>
          <cell r="G22">
            <v>1619.97</v>
          </cell>
          <cell r="H22">
            <v>2341.96</v>
          </cell>
          <cell r="I22">
            <v>1239.15</v>
          </cell>
        </row>
        <row r="23">
          <cell r="B23">
            <v>36678</v>
          </cell>
          <cell r="C23">
            <v>1635</v>
          </cell>
          <cell r="D23">
            <v>11.66</v>
          </cell>
          <cell r="E23">
            <v>30.47</v>
          </cell>
          <cell r="F23">
            <v>1577.28</v>
          </cell>
          <cell r="G23">
            <v>1607.09</v>
          </cell>
          <cell r="H23">
            <v>2335.53</v>
          </cell>
          <cell r="I23">
            <v>1249.71</v>
          </cell>
        </row>
        <row r="24">
          <cell r="B24">
            <v>36708</v>
          </cell>
          <cell r="C24">
            <v>1628</v>
          </cell>
          <cell r="D24">
            <v>23</v>
          </cell>
          <cell r="E24">
            <v>24.69</v>
          </cell>
          <cell r="F24">
            <v>1574.55</v>
          </cell>
          <cell r="G24">
            <v>1597.02</v>
          </cell>
          <cell r="H24">
            <v>2327.99</v>
          </cell>
          <cell r="I24">
            <v>1265.19</v>
          </cell>
        </row>
        <row r="25">
          <cell r="B25">
            <v>36739</v>
          </cell>
          <cell r="C25">
            <v>1621</v>
          </cell>
          <cell r="D25">
            <v>15.58</v>
          </cell>
          <cell r="E25">
            <v>19.26</v>
          </cell>
          <cell r="F25">
            <v>1579.28</v>
          </cell>
          <cell r="G25">
            <v>1596.45</v>
          </cell>
          <cell r="H25">
            <v>2337.22</v>
          </cell>
          <cell r="I25">
            <v>1275.99</v>
          </cell>
        </row>
        <row r="26">
          <cell r="B26">
            <v>36770</v>
          </cell>
          <cell r="C26">
            <v>1611</v>
          </cell>
          <cell r="D26">
            <v>13.23</v>
          </cell>
          <cell r="E26">
            <v>26.26</v>
          </cell>
          <cell r="F26">
            <v>1568.53</v>
          </cell>
          <cell r="G26">
            <v>1591.27</v>
          </cell>
          <cell r="H26">
            <v>2339.74</v>
          </cell>
          <cell r="I26">
            <v>1286.01</v>
          </cell>
        </row>
        <row r="27">
          <cell r="B27">
            <v>36800</v>
          </cell>
          <cell r="C27">
            <v>1607</v>
          </cell>
          <cell r="D27">
            <v>20.32</v>
          </cell>
          <cell r="E27">
            <v>26.49</v>
          </cell>
          <cell r="F27">
            <v>1549.39</v>
          </cell>
          <cell r="G27">
            <v>1574.11</v>
          </cell>
          <cell r="H27">
            <v>2320</v>
          </cell>
          <cell r="I27">
            <v>1287.49</v>
          </cell>
        </row>
        <row r="28">
          <cell r="B28">
            <v>36831</v>
          </cell>
          <cell r="C28">
            <v>1594</v>
          </cell>
          <cell r="D28">
            <v>19.75</v>
          </cell>
          <cell r="E28">
            <v>13.88</v>
          </cell>
          <cell r="F28">
            <v>1556.34</v>
          </cell>
          <cell r="G28">
            <v>1567.92</v>
          </cell>
          <cell r="H28">
            <v>2311.46</v>
          </cell>
          <cell r="I28">
            <v>1296.67</v>
          </cell>
        </row>
        <row r="29">
          <cell r="B29">
            <v>36861</v>
          </cell>
          <cell r="C29">
            <v>1593</v>
          </cell>
          <cell r="D29">
            <v>12.76</v>
          </cell>
          <cell r="E29">
            <v>13.95</v>
          </cell>
          <cell r="F29">
            <v>1556.25</v>
          </cell>
          <cell r="G29">
            <v>1569.34</v>
          </cell>
          <cell r="H29">
            <v>2321.48</v>
          </cell>
          <cell r="I29">
            <v>1299.76</v>
          </cell>
        </row>
        <row r="30">
          <cell r="B30">
            <v>36892</v>
          </cell>
          <cell r="C30">
            <v>1594</v>
          </cell>
          <cell r="D30">
            <v>17.18</v>
          </cell>
          <cell r="E30">
            <v>21.06</v>
          </cell>
          <cell r="F30">
            <v>1552.17</v>
          </cell>
          <cell r="G30">
            <v>1569.88</v>
          </cell>
          <cell r="H30">
            <v>2329.14</v>
          </cell>
          <cell r="I30">
            <v>1311.83</v>
          </cell>
        </row>
        <row r="31">
          <cell r="B31">
            <v>36923</v>
          </cell>
          <cell r="C31">
            <v>1592</v>
          </cell>
          <cell r="D31">
            <v>21.07</v>
          </cell>
          <cell r="E31">
            <v>33.87</v>
          </cell>
          <cell r="F31">
            <v>1541</v>
          </cell>
          <cell r="G31">
            <v>1571.11</v>
          </cell>
          <cell r="H31">
            <v>2334.51</v>
          </cell>
          <cell r="I31">
            <v>1330.28</v>
          </cell>
        </row>
        <row r="32">
          <cell r="B32">
            <v>36951</v>
          </cell>
          <cell r="C32">
            <v>1577</v>
          </cell>
          <cell r="D32">
            <v>17.35</v>
          </cell>
          <cell r="E32">
            <v>28.21</v>
          </cell>
          <cell r="F32">
            <v>1522.51</v>
          </cell>
          <cell r="G32">
            <v>1548.31</v>
          </cell>
          <cell r="H32">
            <v>2304.95</v>
          </cell>
          <cell r="I32">
            <v>1339.26</v>
          </cell>
        </row>
        <row r="33">
          <cell r="B33">
            <v>36982</v>
          </cell>
          <cell r="C33">
            <v>1559</v>
          </cell>
          <cell r="D33">
            <v>14.75</v>
          </cell>
          <cell r="E33">
            <v>18.19</v>
          </cell>
          <cell r="F33">
            <v>1509.71</v>
          </cell>
          <cell r="G33">
            <v>1525.33</v>
          </cell>
          <cell r="H33">
            <v>2276.29</v>
          </cell>
          <cell r="I33">
            <v>1345.27</v>
          </cell>
        </row>
        <row r="34">
          <cell r="B34">
            <v>37012</v>
          </cell>
          <cell r="C34">
            <v>1565</v>
          </cell>
          <cell r="D34">
            <v>25.91</v>
          </cell>
          <cell r="E34">
            <v>34.1</v>
          </cell>
          <cell r="F34">
            <v>1499.62</v>
          </cell>
          <cell r="G34">
            <v>1527.48</v>
          </cell>
          <cell r="H34">
            <v>2280.73</v>
          </cell>
          <cell r="I34">
            <v>1363.99</v>
          </cell>
        </row>
        <row r="35">
          <cell r="B35">
            <v>37043</v>
          </cell>
          <cell r="C35">
            <v>1550</v>
          </cell>
          <cell r="D35">
            <v>22.02</v>
          </cell>
          <cell r="E35">
            <v>27.52</v>
          </cell>
          <cell r="F35">
            <v>1493.68</v>
          </cell>
          <cell r="G35">
            <v>1518.54</v>
          </cell>
          <cell r="H35">
            <v>2267.3</v>
          </cell>
          <cell r="I35">
            <v>1383.25</v>
          </cell>
        </row>
        <row r="36">
          <cell r="B36">
            <v>37073</v>
          </cell>
          <cell r="C36">
            <v>1551</v>
          </cell>
          <cell r="D36">
            <v>29.39</v>
          </cell>
          <cell r="E36">
            <v>44.16</v>
          </cell>
          <cell r="F36">
            <v>1478.17</v>
          </cell>
          <cell r="G36">
            <v>1515.09</v>
          </cell>
          <cell r="H36">
            <v>2261.98</v>
          </cell>
          <cell r="I36">
            <v>1410</v>
          </cell>
        </row>
        <row r="37">
          <cell r="B37">
            <v>37104</v>
          </cell>
          <cell r="C37">
            <v>1530</v>
          </cell>
          <cell r="D37">
            <v>24.77</v>
          </cell>
          <cell r="E37">
            <v>33.6</v>
          </cell>
          <cell r="F37">
            <v>1472.04</v>
          </cell>
          <cell r="G37">
            <v>1501.5</v>
          </cell>
          <cell r="H37">
            <v>2240.52</v>
          </cell>
          <cell r="I37">
            <v>1436.01</v>
          </cell>
        </row>
        <row r="38">
          <cell r="B38">
            <v>37135</v>
          </cell>
          <cell r="C38">
            <v>1542</v>
          </cell>
          <cell r="D38">
            <v>42.59</v>
          </cell>
          <cell r="E38">
            <v>37</v>
          </cell>
          <cell r="F38">
            <v>1478.46</v>
          </cell>
          <cell r="G38">
            <v>1511.41</v>
          </cell>
          <cell r="H38">
            <v>2247.6</v>
          </cell>
          <cell r="I38">
            <v>1478.46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F74"/>
  <sheetViews>
    <sheetView tabSelected="1" zoomScale="80" zoomScaleNormal="80" workbookViewId="0" topLeftCell="A45">
      <selection activeCell="A71" sqref="A71"/>
    </sheetView>
  </sheetViews>
  <sheetFormatPr defaultColWidth="9.140625" defaultRowHeight="12.75"/>
  <cols>
    <col min="1" max="1" width="6.28125" style="143" customWidth="1"/>
    <col min="2" max="2" width="10.8515625" style="143" bestFit="1" customWidth="1"/>
    <col min="3" max="3" width="10.140625" style="143" customWidth="1"/>
    <col min="4" max="4" width="2.7109375" style="143" customWidth="1"/>
    <col min="5" max="5" width="18.57421875" style="144" customWidth="1"/>
    <col min="6" max="6" width="57.00390625" style="144" bestFit="1" customWidth="1"/>
    <col min="7" max="16384" width="9.140625" style="144" customWidth="1"/>
  </cols>
  <sheetData>
    <row r="2" spans="2:6" ht="11.25">
      <c r="B2" s="148" t="s">
        <v>129</v>
      </c>
      <c r="C2" s="149" t="s">
        <v>130</v>
      </c>
      <c r="E2" s="150" t="s">
        <v>62</v>
      </c>
      <c r="F2" s="153" t="s">
        <v>60</v>
      </c>
    </row>
    <row r="3" spans="1:6" ht="12.75">
      <c r="A3" s="197"/>
      <c r="B3" s="208">
        <v>36008</v>
      </c>
      <c r="C3" s="209">
        <v>0.8437</v>
      </c>
      <c r="D3" s="198"/>
      <c r="E3" s="150" t="s">
        <v>63</v>
      </c>
      <c r="F3" s="145" t="s">
        <v>224</v>
      </c>
    </row>
    <row r="4" spans="1:6" ht="12.75">
      <c r="A4" s="197"/>
      <c r="B4" s="208">
        <v>36039</v>
      </c>
      <c r="C4" s="209">
        <v>0.8478</v>
      </c>
      <c r="D4" s="198"/>
      <c r="E4" s="150" t="s">
        <v>64</v>
      </c>
      <c r="F4" s="152" t="str">
        <f>"Experience Period:  "&amp;TEXT(ExpDat,"dd-mmm-yyyy")&amp;"  to  "&amp;TEXT(ValDat,"dd-mmm-yyyy")&amp;".  Runout Date:  "&amp;TEXT(RunDat,"dd-mmm-yyyy")</f>
        <v>Experience Period:  01-Aug-1998  to  31-Jul-2001.  Runout Date:  31-Jul-2001</v>
      </c>
    </row>
    <row r="5" spans="1:4" ht="12.75">
      <c r="A5" s="197"/>
      <c r="B5" s="208">
        <v>36069</v>
      </c>
      <c r="C5" s="209">
        <v>0.8519</v>
      </c>
      <c r="D5" s="198"/>
    </row>
    <row r="6" spans="1:5" ht="12.75">
      <c r="A6" s="197"/>
      <c r="B6" s="208">
        <v>36100</v>
      </c>
      <c r="C6" s="209">
        <v>0.8561</v>
      </c>
      <c r="D6" s="198"/>
      <c r="E6" s="200"/>
    </row>
    <row r="7" spans="1:6" ht="12.75">
      <c r="A7" s="197"/>
      <c r="B7" s="208">
        <v>36130</v>
      </c>
      <c r="C7" s="209">
        <v>0.8603</v>
      </c>
      <c r="D7" s="201"/>
      <c r="E7" s="209">
        <v>6196</v>
      </c>
      <c r="F7" s="151" t="s">
        <v>82</v>
      </c>
    </row>
    <row r="8" spans="1:6" ht="12.75">
      <c r="A8" s="197"/>
      <c r="B8" s="208">
        <v>36161</v>
      </c>
      <c r="C8" s="209">
        <v>0.8644</v>
      </c>
      <c r="D8" s="201"/>
      <c r="E8" s="209" t="s">
        <v>236</v>
      </c>
      <c r="F8" s="151" t="s">
        <v>83</v>
      </c>
    </row>
    <row r="9" spans="1:6" ht="12.75">
      <c r="A9" s="197"/>
      <c r="B9" s="208">
        <v>36192</v>
      </c>
      <c r="C9" s="209">
        <v>0.8686</v>
      </c>
      <c r="D9" s="201"/>
      <c r="E9" s="209">
        <v>332970</v>
      </c>
      <c r="F9" s="151" t="s">
        <v>81</v>
      </c>
    </row>
    <row r="10" spans="1:6" ht="12.75">
      <c r="A10" s="197"/>
      <c r="B10" s="208">
        <v>36220</v>
      </c>
      <c r="C10" s="209">
        <v>0.8729</v>
      </c>
      <c r="D10" s="201"/>
      <c r="E10" s="209" t="s">
        <v>237</v>
      </c>
      <c r="F10" s="151" t="s">
        <v>225</v>
      </c>
    </row>
    <row r="11" spans="1:6" ht="12.75">
      <c r="A11" s="197"/>
      <c r="B11" s="208">
        <v>36251</v>
      </c>
      <c r="C11" s="209">
        <v>0.8771</v>
      </c>
      <c r="D11" s="201"/>
      <c r="E11" s="210">
        <v>36008</v>
      </c>
      <c r="F11" s="151" t="s">
        <v>66</v>
      </c>
    </row>
    <row r="12" spans="1:6" ht="12.75">
      <c r="A12" s="197"/>
      <c r="B12" s="208">
        <v>36281</v>
      </c>
      <c r="C12" s="209">
        <v>0.8814</v>
      </c>
      <c r="D12" s="201"/>
      <c r="E12" s="210">
        <v>37103</v>
      </c>
      <c r="F12" s="151" t="s">
        <v>65</v>
      </c>
    </row>
    <row r="13" spans="1:6" ht="12.75">
      <c r="A13" s="197"/>
      <c r="B13" s="208">
        <v>36312</v>
      </c>
      <c r="C13" s="209">
        <v>0.8857</v>
      </c>
      <c r="D13" s="201"/>
      <c r="E13" s="210">
        <v>37103</v>
      </c>
      <c r="F13" s="151" t="s">
        <v>67</v>
      </c>
    </row>
    <row r="14" spans="1:6" ht="12.75">
      <c r="A14" s="197"/>
      <c r="B14" s="208">
        <v>36342</v>
      </c>
      <c r="C14" s="209">
        <v>0.89</v>
      </c>
      <c r="D14" s="201"/>
      <c r="E14" s="209">
        <v>1</v>
      </c>
      <c r="F14" s="151" t="s">
        <v>151</v>
      </c>
    </row>
    <row r="15" spans="1:6" ht="12.75">
      <c r="A15" s="197"/>
      <c r="B15" s="208">
        <v>36373</v>
      </c>
      <c r="C15" s="209">
        <v>0.8943</v>
      </c>
      <c r="D15" s="201"/>
      <c r="E15" s="209">
        <v>0.04</v>
      </c>
      <c r="F15" s="151" t="s">
        <v>170</v>
      </c>
    </row>
    <row r="16" spans="1:6" ht="12.75">
      <c r="A16" s="197"/>
      <c r="B16" s="208">
        <v>36404</v>
      </c>
      <c r="C16" s="209">
        <v>0.8987</v>
      </c>
      <c r="D16" s="201"/>
      <c r="E16" s="209">
        <v>0.02</v>
      </c>
      <c r="F16" s="151" t="s">
        <v>132</v>
      </c>
    </row>
    <row r="17" spans="1:5" ht="12.75">
      <c r="A17" s="197"/>
      <c r="B17" s="208">
        <v>36434</v>
      </c>
      <c r="C17" s="209">
        <v>0.9031</v>
      </c>
      <c r="D17" s="198"/>
      <c r="E17" s="202"/>
    </row>
    <row r="18" spans="1:4" ht="12.75">
      <c r="A18" s="197"/>
      <c r="B18" s="208">
        <v>36465</v>
      </c>
      <c r="C18" s="209">
        <v>0.9075</v>
      </c>
      <c r="D18" s="198"/>
    </row>
    <row r="19" spans="1:6" ht="12.75">
      <c r="A19" s="197"/>
      <c r="B19" s="208">
        <v>36495</v>
      </c>
      <c r="C19" s="209">
        <v>0.9119</v>
      </c>
      <c r="D19" s="198"/>
      <c r="E19" s="147">
        <f>YEAR(RunDat)*12+MONTH(RunDat)-YEAR(ValDat)*12-MONTH(ValDat)</f>
        <v>0</v>
      </c>
      <c r="F19" s="154" t="s">
        <v>153</v>
      </c>
    </row>
    <row r="20" spans="1:6" ht="12.75">
      <c r="A20" s="197"/>
      <c r="B20" s="208">
        <v>36526</v>
      </c>
      <c r="C20" s="209">
        <v>0.9163</v>
      </c>
      <c r="D20" s="198"/>
      <c r="E20" s="147">
        <f>YEAR(ValDat)*12+MONTH(ValDat)-YEAR(ExpDat)*12-MONTH(ExpDat)+1</f>
        <v>36</v>
      </c>
      <c r="F20" s="154" t="s">
        <v>152</v>
      </c>
    </row>
    <row r="21" spans="1:6" ht="12.75">
      <c r="A21" s="197"/>
      <c r="B21" s="208">
        <v>36557</v>
      </c>
      <c r="C21" s="209">
        <v>0.9208</v>
      </c>
      <c r="D21" s="198"/>
      <c r="E21" s="146"/>
      <c r="F21" s="154"/>
    </row>
    <row r="22" spans="1:6" ht="12.75">
      <c r="A22" s="197"/>
      <c r="B22" s="208">
        <v>36586</v>
      </c>
      <c r="C22" s="209">
        <v>0.9252</v>
      </c>
      <c r="D22" s="198"/>
      <c r="E22" s="146">
        <v>12</v>
      </c>
      <c r="F22" s="154" t="s">
        <v>154</v>
      </c>
    </row>
    <row r="23" spans="1:6" ht="12.75">
      <c r="A23" s="197"/>
      <c r="B23" s="208">
        <v>36617</v>
      </c>
      <c r="C23" s="209">
        <v>0.9298</v>
      </c>
      <c r="D23" s="198"/>
      <c r="E23" s="146">
        <v>36</v>
      </c>
      <c r="F23" s="154" t="s">
        <v>169</v>
      </c>
    </row>
    <row r="24" spans="1:6" ht="12.75">
      <c r="A24" s="197"/>
      <c r="B24" s="208">
        <v>36647</v>
      </c>
      <c r="C24" s="209">
        <v>0.9343</v>
      </c>
      <c r="D24" s="198"/>
      <c r="E24" s="146">
        <v>4</v>
      </c>
      <c r="F24" s="154" t="s">
        <v>209</v>
      </c>
    </row>
    <row r="25" spans="1:4" ht="12.75">
      <c r="A25" s="197"/>
      <c r="B25" s="208">
        <v>36678</v>
      </c>
      <c r="C25" s="209">
        <v>0.9388</v>
      </c>
      <c r="D25" s="198"/>
    </row>
    <row r="26" spans="1:4" ht="12.75">
      <c r="A26" s="197"/>
      <c r="B26" s="208">
        <v>36708</v>
      </c>
      <c r="C26" s="209">
        <v>0.9434</v>
      </c>
      <c r="D26" s="198"/>
    </row>
    <row r="27" spans="1:4" ht="12.75">
      <c r="A27" s="197"/>
      <c r="B27" s="208">
        <v>36739</v>
      </c>
      <c r="C27" s="209">
        <v>0.948</v>
      </c>
      <c r="D27" s="198"/>
    </row>
    <row r="28" spans="1:4" ht="12.75">
      <c r="A28" s="197"/>
      <c r="B28" s="208">
        <v>36770</v>
      </c>
      <c r="C28" s="209">
        <v>0.9526</v>
      </c>
      <c r="D28" s="198"/>
    </row>
    <row r="29" spans="1:4" ht="12.75">
      <c r="A29" s="197"/>
      <c r="B29" s="208">
        <v>36800</v>
      </c>
      <c r="C29" s="209">
        <v>0.9572</v>
      </c>
      <c r="D29" s="198"/>
    </row>
    <row r="30" spans="1:4" ht="12.75">
      <c r="A30" s="197"/>
      <c r="B30" s="208">
        <v>36831</v>
      </c>
      <c r="C30" s="209">
        <v>0.9619</v>
      </c>
      <c r="D30" s="198"/>
    </row>
    <row r="31" spans="1:4" ht="12.75">
      <c r="A31" s="197"/>
      <c r="B31" s="208">
        <v>36861</v>
      </c>
      <c r="C31" s="209">
        <v>0.9666</v>
      </c>
      <c r="D31" s="198"/>
    </row>
    <row r="32" spans="1:4" ht="12.75">
      <c r="A32" s="197"/>
      <c r="B32" s="208">
        <v>36892</v>
      </c>
      <c r="C32" s="209">
        <v>0.9713</v>
      </c>
      <c r="D32" s="198"/>
    </row>
    <row r="33" spans="1:4" ht="12.75">
      <c r="A33" s="197"/>
      <c r="B33" s="208">
        <v>36923</v>
      </c>
      <c r="C33" s="209">
        <v>0.976</v>
      </c>
      <c r="D33" s="198"/>
    </row>
    <row r="34" spans="1:4" ht="12.75">
      <c r="A34" s="197"/>
      <c r="B34" s="208">
        <v>36951</v>
      </c>
      <c r="C34" s="209">
        <v>0.9808</v>
      </c>
      <c r="D34" s="198"/>
    </row>
    <row r="35" spans="1:4" ht="12.75">
      <c r="A35" s="197"/>
      <c r="B35" s="208">
        <v>36982</v>
      </c>
      <c r="C35" s="209">
        <v>0.9855</v>
      </c>
      <c r="D35" s="198"/>
    </row>
    <row r="36" spans="1:4" ht="12.75">
      <c r="A36" s="197"/>
      <c r="B36" s="208">
        <v>37012</v>
      </c>
      <c r="C36" s="209">
        <v>0.9903</v>
      </c>
      <c r="D36" s="198"/>
    </row>
    <row r="37" spans="1:4" ht="12.75">
      <c r="A37" s="197"/>
      <c r="B37" s="208">
        <v>37043</v>
      </c>
      <c r="C37" s="209">
        <v>0.9952</v>
      </c>
      <c r="D37" s="198"/>
    </row>
    <row r="38" spans="1:4" ht="12.75">
      <c r="A38" s="197"/>
      <c r="B38" s="208">
        <v>37073</v>
      </c>
      <c r="C38" s="209">
        <v>1</v>
      </c>
      <c r="D38" s="198"/>
    </row>
    <row r="39" spans="2:3" ht="11.25">
      <c r="B39" s="199"/>
      <c r="C39" s="199"/>
    </row>
    <row r="70" ht="11.25">
      <c r="A70" s="143">
        <v>6196</v>
      </c>
    </row>
    <row r="71" ht="11.25">
      <c r="A71" s="221" t="s">
        <v>239</v>
      </c>
    </row>
    <row r="72" ht="11.25">
      <c r="A72" s="143" t="s">
        <v>235</v>
      </c>
    </row>
    <row r="73" ht="11.25">
      <c r="A73" s="143" t="s">
        <v>240</v>
      </c>
    </row>
    <row r="74" ht="11.25">
      <c r="A74" s="143" t="s">
        <v>241</v>
      </c>
    </row>
  </sheetData>
  <printOptions/>
  <pageMargins left="0.75" right="0.75" top="1" bottom="1" header="0.5" footer="0.5"/>
  <pageSetup blackAndWhite="1" fitToHeight="1000" fitToWidth="1" horizontalDpi="600" verticalDpi="600" orientation="portrait" scale="72" r:id="rId1"/>
  <headerFooter alignWithMargins="0">
    <oddFooter>&amp;L&amp;"Arial Narrow,Regular"&amp;9&amp;F &amp;A &amp;P / &amp;N
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O105"/>
  <sheetViews>
    <sheetView zoomScale="85" zoomScaleNormal="85" workbookViewId="0" topLeftCell="A1">
      <pane ySplit="8" topLeftCell="BM9" activePane="bottomLeft" state="frozen"/>
      <selection pane="topLeft" activeCell="F34" sqref="F34"/>
      <selection pane="bottomLeft" activeCell="A10" sqref="A10"/>
    </sheetView>
  </sheetViews>
  <sheetFormatPr defaultColWidth="9.140625" defaultRowHeight="12.75"/>
  <cols>
    <col min="1" max="1" width="10.7109375" style="127" customWidth="1"/>
    <col min="2" max="2" width="8.7109375" style="127" customWidth="1"/>
    <col min="3" max="3" width="10.7109375" style="127" customWidth="1"/>
    <col min="4" max="41" width="12.7109375" style="127" customWidth="1"/>
    <col min="42" max="16384" width="9.140625" style="127" customWidth="1"/>
  </cols>
  <sheetData>
    <row r="1" spans="1:41" ht="18">
      <c r="A1" s="135"/>
      <c r="B1" s="2" t="str">
        <f>title1&amp;" - Paid Lag Triangle"</f>
        <v>BLOCK CLAIM LIABILITY REPORT - Paid Lag Triangle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>
      <c r="A2" s="135"/>
      <c r="B2" s="9" t="str">
        <f>title2</f>
        <v>The Millennium-2000 Sample Life Insurance Company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135"/>
      <c r="B3" s="9" t="str">
        <f>title3</f>
        <v>Arvind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">
      <c r="A4" s="135"/>
      <c r="B4" s="33" t="str">
        <f>title4</f>
        <v>Experience Period:  01-Aug-1998  to  31-Jul-2001.  Runout Date:  31-Jul-2001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129" customFormat="1" ht="12.75">
      <c r="A5" s="13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129" customFormat="1" ht="12.75">
      <c r="A6" s="4"/>
      <c r="B6" s="4"/>
      <c r="C6" s="4"/>
      <c r="D6" s="4"/>
      <c r="E6" s="4"/>
      <c r="F6" s="4"/>
      <c r="G6" s="1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128" customFormat="1" ht="12.75">
      <c r="A7" s="88"/>
      <c r="B7" s="40"/>
      <c r="C7" s="40"/>
      <c r="D7" s="4"/>
      <c r="E7" s="40"/>
      <c r="F7" s="136" t="s">
        <v>138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</row>
    <row r="8" spans="1:41" s="129" customFormat="1" ht="51">
      <c r="A8" s="14" t="s">
        <v>58</v>
      </c>
      <c r="B8" s="14" t="s">
        <v>168</v>
      </c>
      <c r="C8" s="14" t="s">
        <v>57</v>
      </c>
      <c r="D8" s="14" t="s">
        <v>1</v>
      </c>
      <c r="E8" s="14" t="s">
        <v>2</v>
      </c>
      <c r="F8" s="20">
        <v>0</v>
      </c>
      <c r="G8" s="20">
        <f aca="true" t="shared" si="0" ref="G8:AO8">F8+1</f>
        <v>1</v>
      </c>
      <c r="H8" s="20">
        <f t="shared" si="0"/>
        <v>2</v>
      </c>
      <c r="I8" s="20">
        <f t="shared" si="0"/>
        <v>3</v>
      </c>
      <c r="J8" s="20">
        <f t="shared" si="0"/>
        <v>4</v>
      </c>
      <c r="K8" s="20">
        <f t="shared" si="0"/>
        <v>5</v>
      </c>
      <c r="L8" s="20">
        <f t="shared" si="0"/>
        <v>6</v>
      </c>
      <c r="M8" s="20">
        <f t="shared" si="0"/>
        <v>7</v>
      </c>
      <c r="N8" s="20">
        <f t="shared" si="0"/>
        <v>8</v>
      </c>
      <c r="O8" s="20">
        <f t="shared" si="0"/>
        <v>9</v>
      </c>
      <c r="P8" s="20">
        <f t="shared" si="0"/>
        <v>10</v>
      </c>
      <c r="Q8" s="20">
        <f t="shared" si="0"/>
        <v>11</v>
      </c>
      <c r="R8" s="20">
        <f t="shared" si="0"/>
        <v>12</v>
      </c>
      <c r="S8" s="20">
        <f t="shared" si="0"/>
        <v>13</v>
      </c>
      <c r="T8" s="20">
        <f t="shared" si="0"/>
        <v>14</v>
      </c>
      <c r="U8" s="20">
        <f t="shared" si="0"/>
        <v>15</v>
      </c>
      <c r="V8" s="20">
        <f t="shared" si="0"/>
        <v>16</v>
      </c>
      <c r="W8" s="20">
        <f t="shared" si="0"/>
        <v>17</v>
      </c>
      <c r="X8" s="20">
        <f t="shared" si="0"/>
        <v>18</v>
      </c>
      <c r="Y8" s="20">
        <f t="shared" si="0"/>
        <v>19</v>
      </c>
      <c r="Z8" s="20">
        <f t="shared" si="0"/>
        <v>20</v>
      </c>
      <c r="AA8" s="20">
        <f t="shared" si="0"/>
        <v>21</v>
      </c>
      <c r="AB8" s="20">
        <f t="shared" si="0"/>
        <v>22</v>
      </c>
      <c r="AC8" s="20">
        <f t="shared" si="0"/>
        <v>23</v>
      </c>
      <c r="AD8" s="20">
        <f t="shared" si="0"/>
        <v>24</v>
      </c>
      <c r="AE8" s="20">
        <f t="shared" si="0"/>
        <v>25</v>
      </c>
      <c r="AF8" s="20">
        <f t="shared" si="0"/>
        <v>26</v>
      </c>
      <c r="AG8" s="20">
        <f t="shared" si="0"/>
        <v>27</v>
      </c>
      <c r="AH8" s="20">
        <f t="shared" si="0"/>
        <v>28</v>
      </c>
      <c r="AI8" s="20">
        <f t="shared" si="0"/>
        <v>29</v>
      </c>
      <c r="AJ8" s="20">
        <f t="shared" si="0"/>
        <v>30</v>
      </c>
      <c r="AK8" s="20">
        <f t="shared" si="0"/>
        <v>31</v>
      </c>
      <c r="AL8" s="20">
        <f t="shared" si="0"/>
        <v>32</v>
      </c>
      <c r="AM8" s="20">
        <f t="shared" si="0"/>
        <v>33</v>
      </c>
      <c r="AN8" s="20">
        <f t="shared" si="0"/>
        <v>34</v>
      </c>
      <c r="AO8" s="20">
        <f t="shared" si="0"/>
        <v>35</v>
      </c>
    </row>
    <row r="9" spans="1:41" ht="12.75">
      <c r="A9" s="32">
        <f>ExpDat</f>
        <v>36008</v>
      </c>
      <c r="B9" s="36">
        <f>IF($A9="","",IF(VLOOKUP($A9,TrendFacDump,2,FALSE)=0,0,VLOOKUP(EOMONTH(ValDat,-1)+1,TrendFacDump,2,FALSE)/VLOOKUP($A9,TrendFacDump,2,FALSE)))</f>
        <v>1.185255422543558</v>
      </c>
      <c r="C9" s="50">
        <f aca="true" t="shared" si="1" ref="C9:C44">IF($A9="","",VLOOKUP($A9,ExpDump,7,FALSE))</f>
        <v>2576.156</v>
      </c>
      <c r="D9" s="66">
        <f aca="true" t="shared" si="2" ref="D9:D44">IF($A9="","",SUM(F9:AO9))</f>
        <v>50333</v>
      </c>
      <c r="E9" s="67">
        <f>IF($A9="","",F9)</f>
        <v>50333</v>
      </c>
      <c r="F9" s="70">
        <f aca="true" t="shared" si="3" ref="F9:O18">IF($A9="","",VLOOKUP($A9,PaidDump,F$8+2,FALSE))</f>
        <v>50333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66">
        <f t="shared" si="3"/>
        <v>0</v>
      </c>
      <c r="K9" s="66">
        <f t="shared" si="3"/>
        <v>0</v>
      </c>
      <c r="L9" s="66">
        <f t="shared" si="3"/>
        <v>0</v>
      </c>
      <c r="M9" s="66">
        <f t="shared" si="3"/>
        <v>0</v>
      </c>
      <c r="N9" s="66">
        <f t="shared" si="3"/>
        <v>0</v>
      </c>
      <c r="O9" s="66">
        <f t="shared" si="3"/>
        <v>0</v>
      </c>
      <c r="P9" s="66">
        <f aca="true" t="shared" si="4" ref="P9:Y18">IF($A9="","",VLOOKUP($A9,PaidDump,P$8+2,FALSE))</f>
        <v>0</v>
      </c>
      <c r="Q9" s="66">
        <f t="shared" si="4"/>
        <v>0</v>
      </c>
      <c r="R9" s="66">
        <f t="shared" si="4"/>
        <v>0</v>
      </c>
      <c r="S9" s="66">
        <f t="shared" si="4"/>
        <v>0</v>
      </c>
      <c r="T9" s="66">
        <f t="shared" si="4"/>
        <v>0</v>
      </c>
      <c r="U9" s="66">
        <f t="shared" si="4"/>
        <v>0</v>
      </c>
      <c r="V9" s="66">
        <f t="shared" si="4"/>
        <v>0</v>
      </c>
      <c r="W9" s="66">
        <f t="shared" si="4"/>
        <v>0</v>
      </c>
      <c r="X9" s="66">
        <f t="shared" si="4"/>
        <v>0</v>
      </c>
      <c r="Y9" s="66">
        <f t="shared" si="4"/>
        <v>0</v>
      </c>
      <c r="Z9" s="66">
        <f aca="true" t="shared" si="5" ref="Z9:AI18">IF($A9="","",VLOOKUP($A9,PaidDump,Z$8+2,FALSE))</f>
        <v>0</v>
      </c>
      <c r="AA9" s="66">
        <f t="shared" si="5"/>
        <v>0</v>
      </c>
      <c r="AB9" s="66">
        <f t="shared" si="5"/>
        <v>0</v>
      </c>
      <c r="AC9" s="66">
        <f t="shared" si="5"/>
        <v>0</v>
      </c>
      <c r="AD9" s="66">
        <f t="shared" si="5"/>
        <v>0</v>
      </c>
      <c r="AE9" s="66">
        <f t="shared" si="5"/>
        <v>0</v>
      </c>
      <c r="AF9" s="66">
        <f t="shared" si="5"/>
        <v>0</v>
      </c>
      <c r="AG9" s="66">
        <f t="shared" si="5"/>
        <v>0</v>
      </c>
      <c r="AH9" s="66">
        <f t="shared" si="5"/>
        <v>0</v>
      </c>
      <c r="AI9" s="66">
        <f t="shared" si="5"/>
        <v>0</v>
      </c>
      <c r="AJ9" s="66">
        <f aca="true" t="shared" si="6" ref="AJ9:AO18">IF($A9="","",VLOOKUP($A9,PaidDump,AJ$8+2,FALSE))</f>
        <v>0</v>
      </c>
      <c r="AK9" s="66">
        <f t="shared" si="6"/>
        <v>0</v>
      </c>
      <c r="AL9" s="66">
        <f t="shared" si="6"/>
        <v>0</v>
      </c>
      <c r="AM9" s="66">
        <f t="shared" si="6"/>
        <v>0</v>
      </c>
      <c r="AN9" s="66">
        <f t="shared" si="6"/>
        <v>0</v>
      </c>
      <c r="AO9" s="66">
        <f t="shared" si="6"/>
        <v>0</v>
      </c>
    </row>
    <row r="10" spans="1:41" ht="12.75">
      <c r="A10" s="32">
        <f>IF($A9="","",IF(DATE(YEAR(A9),MONTH(A9)+1,1)&gt;ValDat,"",DATE(YEAR(A9),MONTH(A9)+1,1)))</f>
        <v>36039</v>
      </c>
      <c r="B10" s="36">
        <f>IF($A10="","",IF(VLOOKUP($A10,TrendFacDump,2,FALSE)=0,0,VLOOKUP(EOMONTH(ValDat,-1)+1,TrendFacDump,2,FALSE)/VLOOKUP($A10,TrendFacDump,2,FALSE)))</f>
        <v>1.179523472517103</v>
      </c>
      <c r="C10" s="50">
        <f t="shared" si="1"/>
        <v>2663.767</v>
      </c>
      <c r="D10" s="66">
        <f t="shared" si="2"/>
        <v>50333</v>
      </c>
      <c r="E10" s="67">
        <f>IF($A10="","",E9+F10+G9)</f>
        <v>100666</v>
      </c>
      <c r="F10" s="70">
        <f t="shared" si="3"/>
        <v>50333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66">
        <f t="shared" si="3"/>
        <v>0</v>
      </c>
      <c r="K10" s="66">
        <f t="shared" si="3"/>
        <v>0</v>
      </c>
      <c r="L10" s="66">
        <f t="shared" si="3"/>
        <v>0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4"/>
        <v>0</v>
      </c>
      <c r="Q10" s="66">
        <f t="shared" si="4"/>
        <v>0</v>
      </c>
      <c r="R10" s="66">
        <f t="shared" si="4"/>
        <v>0</v>
      </c>
      <c r="S10" s="66">
        <f t="shared" si="4"/>
        <v>0</v>
      </c>
      <c r="T10" s="66">
        <f t="shared" si="4"/>
        <v>0</v>
      </c>
      <c r="U10" s="66">
        <f t="shared" si="4"/>
        <v>0</v>
      </c>
      <c r="V10" s="66">
        <f t="shared" si="4"/>
        <v>0</v>
      </c>
      <c r="W10" s="66">
        <f t="shared" si="4"/>
        <v>0</v>
      </c>
      <c r="X10" s="66">
        <f t="shared" si="4"/>
        <v>0</v>
      </c>
      <c r="Y10" s="66">
        <f t="shared" si="4"/>
        <v>0</v>
      </c>
      <c r="Z10" s="66">
        <f t="shared" si="5"/>
        <v>0</v>
      </c>
      <c r="AA10" s="66">
        <f t="shared" si="5"/>
        <v>0</v>
      </c>
      <c r="AB10" s="66">
        <f t="shared" si="5"/>
        <v>0</v>
      </c>
      <c r="AC10" s="66">
        <f t="shared" si="5"/>
        <v>0</v>
      </c>
      <c r="AD10" s="66">
        <f t="shared" si="5"/>
        <v>0</v>
      </c>
      <c r="AE10" s="66">
        <f t="shared" si="5"/>
        <v>0</v>
      </c>
      <c r="AF10" s="66">
        <f t="shared" si="5"/>
        <v>0</v>
      </c>
      <c r="AG10" s="66">
        <f t="shared" si="5"/>
        <v>0</v>
      </c>
      <c r="AH10" s="66">
        <f t="shared" si="5"/>
        <v>0</v>
      </c>
      <c r="AI10" s="66">
        <f t="shared" si="5"/>
        <v>0</v>
      </c>
      <c r="AJ10" s="66">
        <f t="shared" si="6"/>
        <v>0</v>
      </c>
      <c r="AK10" s="66">
        <f t="shared" si="6"/>
        <v>0</v>
      </c>
      <c r="AL10" s="66">
        <f t="shared" si="6"/>
        <v>0</v>
      </c>
      <c r="AM10" s="66">
        <f t="shared" si="6"/>
        <v>0</v>
      </c>
      <c r="AN10" s="66">
        <f t="shared" si="6"/>
        <v>0</v>
      </c>
      <c r="AO10" s="66">
        <f t="shared" si="6"/>
        <v>0</v>
      </c>
    </row>
    <row r="11" spans="1:41" ht="12.75">
      <c r="A11" s="32">
        <f aca="true" t="shared" si="7" ref="A11:A44">IF($A10="","",IF(DATE(YEAR(A10),MONTH(A10)+1,1)&gt;ValDat,"",DATE(YEAR(A10),MONTH(A10)+1,1)))</f>
        <v>36069</v>
      </c>
      <c r="B11" s="36">
        <f>IF($A11="","",IF(VLOOKUP($A11,TrendFacDump,2,FALSE)=0,0,VLOOKUP(EOMONTH(ValDat,-1)+1,TrendFacDump,2,FALSE)/VLOOKUP($A11,TrendFacDump,2,FALSE)))</f>
        <v>1.1738466956215519</v>
      </c>
      <c r="C11" s="50">
        <f t="shared" si="1"/>
        <v>2728.208</v>
      </c>
      <c r="D11" s="66">
        <f t="shared" si="2"/>
        <v>221584</v>
      </c>
      <c r="E11" s="67">
        <f>IF($A11="","",E10+F11+G10+H9)</f>
        <v>121003</v>
      </c>
      <c r="F11" s="70">
        <f t="shared" si="3"/>
        <v>20337</v>
      </c>
      <c r="G11" s="70">
        <f t="shared" si="3"/>
        <v>176427</v>
      </c>
      <c r="H11" s="70">
        <f t="shared" si="3"/>
        <v>24820</v>
      </c>
      <c r="I11" s="70">
        <f t="shared" si="3"/>
        <v>0</v>
      </c>
      <c r="J11" s="66">
        <f t="shared" si="3"/>
        <v>0</v>
      </c>
      <c r="K11" s="66">
        <f t="shared" si="3"/>
        <v>0</v>
      </c>
      <c r="L11" s="66">
        <f t="shared" si="3"/>
        <v>0</v>
      </c>
      <c r="M11" s="66">
        <f t="shared" si="3"/>
        <v>0</v>
      </c>
      <c r="N11" s="66">
        <f t="shared" si="3"/>
        <v>0</v>
      </c>
      <c r="O11" s="66">
        <f t="shared" si="3"/>
        <v>0</v>
      </c>
      <c r="P11" s="66">
        <f t="shared" si="4"/>
        <v>0</v>
      </c>
      <c r="Q11" s="66">
        <f t="shared" si="4"/>
        <v>0</v>
      </c>
      <c r="R11" s="66">
        <f t="shared" si="4"/>
        <v>0</v>
      </c>
      <c r="S11" s="66">
        <f t="shared" si="4"/>
        <v>0</v>
      </c>
      <c r="T11" s="66">
        <f t="shared" si="4"/>
        <v>0</v>
      </c>
      <c r="U11" s="66">
        <f t="shared" si="4"/>
        <v>0</v>
      </c>
      <c r="V11" s="66">
        <f t="shared" si="4"/>
        <v>0</v>
      </c>
      <c r="W11" s="66">
        <f t="shared" si="4"/>
        <v>0</v>
      </c>
      <c r="X11" s="66">
        <f t="shared" si="4"/>
        <v>0</v>
      </c>
      <c r="Y11" s="66">
        <f t="shared" si="4"/>
        <v>0</v>
      </c>
      <c r="Z11" s="66">
        <f t="shared" si="5"/>
        <v>0</v>
      </c>
      <c r="AA11" s="66">
        <f t="shared" si="5"/>
        <v>0</v>
      </c>
      <c r="AB11" s="66">
        <f t="shared" si="5"/>
        <v>0</v>
      </c>
      <c r="AC11" s="66">
        <f t="shared" si="5"/>
        <v>0</v>
      </c>
      <c r="AD11" s="66">
        <f t="shared" si="5"/>
        <v>0</v>
      </c>
      <c r="AE11" s="66">
        <f t="shared" si="5"/>
        <v>0</v>
      </c>
      <c r="AF11" s="66">
        <f t="shared" si="5"/>
        <v>0</v>
      </c>
      <c r="AG11" s="66">
        <f t="shared" si="5"/>
        <v>0</v>
      </c>
      <c r="AH11" s="66">
        <f t="shared" si="5"/>
        <v>0</v>
      </c>
      <c r="AI11" s="66">
        <f t="shared" si="5"/>
        <v>0</v>
      </c>
      <c r="AJ11" s="66">
        <f t="shared" si="6"/>
        <v>0</v>
      </c>
      <c r="AK11" s="66">
        <f t="shared" si="6"/>
        <v>0</v>
      </c>
      <c r="AL11" s="66">
        <f t="shared" si="6"/>
        <v>0</v>
      </c>
      <c r="AM11" s="66">
        <f t="shared" si="6"/>
        <v>0</v>
      </c>
      <c r="AN11" s="66">
        <f t="shared" si="6"/>
        <v>0</v>
      </c>
      <c r="AO11" s="66">
        <f t="shared" si="6"/>
        <v>0</v>
      </c>
    </row>
    <row r="12" spans="1:41" ht="12.75">
      <c r="A12" s="32">
        <f t="shared" si="7"/>
        <v>36100</v>
      </c>
      <c r="B12" s="36">
        <f>IF($A12="","",IF(VLOOKUP($A12,TrendFacDump,2,FALSE)=0,0,VLOOKUP(EOMONTH(ValDat,-1)+1,TrendFacDump,2,FALSE)/VLOOKUP($A12,TrendFacDump,2,FALSE)))</f>
        <v>1.1680878402055834</v>
      </c>
      <c r="C12" s="50">
        <f t="shared" si="1"/>
        <v>2780.754</v>
      </c>
      <c r="D12" s="66">
        <f t="shared" si="2"/>
        <v>221584</v>
      </c>
      <c r="E12" s="67">
        <f>IF($A12="","",E11+F12+G11+H10+I9)</f>
        <v>337909</v>
      </c>
      <c r="F12" s="70">
        <f t="shared" si="3"/>
        <v>40479</v>
      </c>
      <c r="G12" s="70">
        <f t="shared" si="3"/>
        <v>159677</v>
      </c>
      <c r="H12" s="70">
        <f t="shared" si="3"/>
        <v>21428</v>
      </c>
      <c r="I12" s="70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6">
        <f t="shared" si="4"/>
        <v>0</v>
      </c>
      <c r="Q12" s="66">
        <f t="shared" si="4"/>
        <v>0</v>
      </c>
      <c r="R12" s="66">
        <f t="shared" si="4"/>
        <v>0</v>
      </c>
      <c r="S12" s="66">
        <f t="shared" si="4"/>
        <v>0</v>
      </c>
      <c r="T12" s="66">
        <f t="shared" si="4"/>
        <v>0</v>
      </c>
      <c r="U12" s="66">
        <f t="shared" si="4"/>
        <v>0</v>
      </c>
      <c r="V12" s="66">
        <f t="shared" si="4"/>
        <v>0</v>
      </c>
      <c r="W12" s="66">
        <f t="shared" si="4"/>
        <v>0</v>
      </c>
      <c r="X12" s="66">
        <f t="shared" si="4"/>
        <v>0</v>
      </c>
      <c r="Y12" s="66">
        <f t="shared" si="4"/>
        <v>0</v>
      </c>
      <c r="Z12" s="66">
        <f t="shared" si="5"/>
        <v>0</v>
      </c>
      <c r="AA12" s="66">
        <f t="shared" si="5"/>
        <v>0</v>
      </c>
      <c r="AB12" s="66">
        <f t="shared" si="5"/>
        <v>0</v>
      </c>
      <c r="AC12" s="66">
        <f t="shared" si="5"/>
        <v>0</v>
      </c>
      <c r="AD12" s="66">
        <f t="shared" si="5"/>
        <v>0</v>
      </c>
      <c r="AE12" s="66">
        <f t="shared" si="5"/>
        <v>0</v>
      </c>
      <c r="AF12" s="66">
        <f t="shared" si="5"/>
        <v>0</v>
      </c>
      <c r="AG12" s="66">
        <f t="shared" si="5"/>
        <v>0</v>
      </c>
      <c r="AH12" s="66">
        <f t="shared" si="5"/>
        <v>0</v>
      </c>
      <c r="AI12" s="66">
        <f t="shared" si="5"/>
        <v>0</v>
      </c>
      <c r="AJ12" s="66">
        <f t="shared" si="6"/>
        <v>0</v>
      </c>
      <c r="AK12" s="66">
        <f t="shared" si="6"/>
        <v>0</v>
      </c>
      <c r="AL12" s="66">
        <f t="shared" si="6"/>
        <v>0</v>
      </c>
      <c r="AM12" s="66">
        <f t="shared" si="6"/>
        <v>0</v>
      </c>
      <c r="AN12" s="66">
        <f t="shared" si="6"/>
        <v>0</v>
      </c>
      <c r="AO12" s="66">
        <f t="shared" si="6"/>
        <v>0</v>
      </c>
    </row>
    <row r="13" spans="1:41" ht="12.75">
      <c r="A13" s="32">
        <f t="shared" si="7"/>
        <v>36130</v>
      </c>
      <c r="B13" s="36">
        <f>IF($A13="","",IF(VLOOKUP($A13,TrendFacDump,2,FALSE)=0,0,VLOOKUP(EOMONTH(ValDat,-1)+1,TrendFacDump,2,FALSE)/VLOOKUP($A13,TrendFacDump,2,FALSE)))</f>
        <v>1.1623852144600721</v>
      </c>
      <c r="C13" s="50">
        <f t="shared" si="1"/>
        <v>2826.459</v>
      </c>
      <c r="D13" s="66">
        <f t="shared" si="2"/>
        <v>198556</v>
      </c>
      <c r="E13" s="67">
        <f>IF($A13="","",E12+F13+G12+H11+I10+J9)</f>
        <v>537726</v>
      </c>
      <c r="F13" s="70">
        <f t="shared" si="3"/>
        <v>15320</v>
      </c>
      <c r="G13" s="70">
        <f t="shared" si="3"/>
        <v>109280</v>
      </c>
      <c r="H13" s="70">
        <f t="shared" si="3"/>
        <v>64318</v>
      </c>
      <c r="I13" s="70">
        <f t="shared" si="3"/>
        <v>8788</v>
      </c>
      <c r="J13" s="66">
        <f t="shared" si="3"/>
        <v>850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4"/>
        <v>0</v>
      </c>
      <c r="Q13" s="66">
        <f t="shared" si="4"/>
        <v>0</v>
      </c>
      <c r="R13" s="66">
        <f t="shared" si="4"/>
        <v>0</v>
      </c>
      <c r="S13" s="66">
        <f t="shared" si="4"/>
        <v>0</v>
      </c>
      <c r="T13" s="66">
        <f t="shared" si="4"/>
        <v>0</v>
      </c>
      <c r="U13" s="66">
        <f t="shared" si="4"/>
        <v>0</v>
      </c>
      <c r="V13" s="66">
        <f t="shared" si="4"/>
        <v>0</v>
      </c>
      <c r="W13" s="66">
        <f t="shared" si="4"/>
        <v>0</v>
      </c>
      <c r="X13" s="66">
        <f t="shared" si="4"/>
        <v>0</v>
      </c>
      <c r="Y13" s="66">
        <f t="shared" si="4"/>
        <v>0</v>
      </c>
      <c r="Z13" s="66">
        <f t="shared" si="5"/>
        <v>0</v>
      </c>
      <c r="AA13" s="66">
        <f t="shared" si="5"/>
        <v>0</v>
      </c>
      <c r="AB13" s="66">
        <f t="shared" si="5"/>
        <v>0</v>
      </c>
      <c r="AC13" s="66">
        <f t="shared" si="5"/>
        <v>0</v>
      </c>
      <c r="AD13" s="66">
        <f t="shared" si="5"/>
        <v>0</v>
      </c>
      <c r="AE13" s="66">
        <f t="shared" si="5"/>
        <v>0</v>
      </c>
      <c r="AF13" s="66">
        <f t="shared" si="5"/>
        <v>0</v>
      </c>
      <c r="AG13" s="66">
        <f t="shared" si="5"/>
        <v>0</v>
      </c>
      <c r="AH13" s="66">
        <f t="shared" si="5"/>
        <v>0</v>
      </c>
      <c r="AI13" s="66">
        <f t="shared" si="5"/>
        <v>0</v>
      </c>
      <c r="AJ13" s="66">
        <f t="shared" si="6"/>
        <v>0</v>
      </c>
      <c r="AK13" s="66">
        <f t="shared" si="6"/>
        <v>0</v>
      </c>
      <c r="AL13" s="66">
        <f t="shared" si="6"/>
        <v>0</v>
      </c>
      <c r="AM13" s="66">
        <f t="shared" si="6"/>
        <v>0</v>
      </c>
      <c r="AN13" s="66">
        <f t="shared" si="6"/>
        <v>0</v>
      </c>
      <c r="AO13" s="66">
        <f t="shared" si="6"/>
        <v>0</v>
      </c>
    </row>
    <row r="14" spans="1:41" ht="12.75">
      <c r="A14" s="32">
        <f t="shared" si="7"/>
        <v>36161</v>
      </c>
      <c r="B14" s="36">
        <f>IF($A14="","",IF(VLOOKUP($A14,TrendFacDump,2,FALSE)=0,0,VLOOKUP(EOMONTH(ValDat,-1)+1,TrendFacDump,2,FALSE)/VLOOKUP($A14,TrendFacDump,2,FALSE)))</f>
        <v>1.1568718186024989</v>
      </c>
      <c r="C14" s="50">
        <f t="shared" si="1"/>
        <v>2835.062</v>
      </c>
      <c r="D14" s="66">
        <f t="shared" si="2"/>
        <v>198556</v>
      </c>
      <c r="E14" s="67">
        <f>IF($A14="","",E13+F14+G13+H12+I11+J10+K9)</f>
        <v>723533</v>
      </c>
      <c r="F14" s="70">
        <f t="shared" si="3"/>
        <v>55099</v>
      </c>
      <c r="G14" s="70">
        <f t="shared" si="3"/>
        <v>78962</v>
      </c>
      <c r="H14" s="70">
        <f t="shared" si="3"/>
        <v>58105</v>
      </c>
      <c r="I14" s="70">
        <f t="shared" si="3"/>
        <v>5540</v>
      </c>
      <c r="J14" s="66">
        <f t="shared" si="3"/>
        <v>850</v>
      </c>
      <c r="K14" s="66">
        <f t="shared" si="3"/>
        <v>0</v>
      </c>
      <c r="L14" s="66">
        <f t="shared" si="3"/>
        <v>0</v>
      </c>
      <c r="M14" s="66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4"/>
        <v>0</v>
      </c>
      <c r="Q14" s="66">
        <f t="shared" si="4"/>
        <v>0</v>
      </c>
      <c r="R14" s="66">
        <f t="shared" si="4"/>
        <v>0</v>
      </c>
      <c r="S14" s="66">
        <f t="shared" si="4"/>
        <v>0</v>
      </c>
      <c r="T14" s="66">
        <f t="shared" si="4"/>
        <v>0</v>
      </c>
      <c r="U14" s="66">
        <f t="shared" si="4"/>
        <v>0</v>
      </c>
      <c r="V14" s="66">
        <f t="shared" si="4"/>
        <v>0</v>
      </c>
      <c r="W14" s="66">
        <f t="shared" si="4"/>
        <v>0</v>
      </c>
      <c r="X14" s="66">
        <f t="shared" si="4"/>
        <v>0</v>
      </c>
      <c r="Y14" s="66">
        <f t="shared" si="4"/>
        <v>0</v>
      </c>
      <c r="Z14" s="66">
        <f t="shared" si="5"/>
        <v>0</v>
      </c>
      <c r="AA14" s="66">
        <f t="shared" si="5"/>
        <v>0</v>
      </c>
      <c r="AB14" s="66">
        <f t="shared" si="5"/>
        <v>0</v>
      </c>
      <c r="AC14" s="66">
        <f t="shared" si="5"/>
        <v>0</v>
      </c>
      <c r="AD14" s="66">
        <f t="shared" si="5"/>
        <v>0</v>
      </c>
      <c r="AE14" s="66">
        <f t="shared" si="5"/>
        <v>0</v>
      </c>
      <c r="AF14" s="66">
        <f t="shared" si="5"/>
        <v>0</v>
      </c>
      <c r="AG14" s="66">
        <f t="shared" si="5"/>
        <v>0</v>
      </c>
      <c r="AH14" s="66">
        <f t="shared" si="5"/>
        <v>0</v>
      </c>
      <c r="AI14" s="66">
        <f t="shared" si="5"/>
        <v>0</v>
      </c>
      <c r="AJ14" s="66">
        <f t="shared" si="6"/>
        <v>0</v>
      </c>
      <c r="AK14" s="66">
        <f t="shared" si="6"/>
        <v>0</v>
      </c>
      <c r="AL14" s="66">
        <f t="shared" si="6"/>
        <v>0</v>
      </c>
      <c r="AM14" s="66">
        <f t="shared" si="6"/>
        <v>0</v>
      </c>
      <c r="AN14" s="66">
        <f t="shared" si="6"/>
        <v>0</v>
      </c>
      <c r="AO14" s="66">
        <f t="shared" si="6"/>
        <v>0</v>
      </c>
    </row>
    <row r="15" spans="1:41" ht="12.75">
      <c r="A15" s="32">
        <f t="shared" si="7"/>
        <v>36192</v>
      </c>
      <c r="B15" s="36">
        <f>IF($A15="","",IF(VLOOKUP($A15,TrendFacDump,2,FALSE)=0,0,VLOOKUP(EOMONTH(ValDat,-1)+1,TrendFacDump,2,FALSE)/VLOOKUP($A15,TrendFacDump,2,FALSE)))</f>
        <v>1.1512779184895232</v>
      </c>
      <c r="C15" s="50">
        <f t="shared" si="1"/>
        <v>2816.626</v>
      </c>
      <c r="D15" s="66">
        <f t="shared" si="2"/>
        <v>186494</v>
      </c>
      <c r="E15" s="67">
        <f>IF($A14="","",E14+F15+G14+H13+I12+J11+K10+L9)</f>
        <v>867537</v>
      </c>
      <c r="F15" s="66">
        <f t="shared" si="3"/>
        <v>724</v>
      </c>
      <c r="G15" s="66">
        <f t="shared" si="3"/>
        <v>73514</v>
      </c>
      <c r="H15" s="66">
        <f t="shared" si="3"/>
        <v>100846</v>
      </c>
      <c r="I15" s="66">
        <f t="shared" si="3"/>
        <v>2952</v>
      </c>
      <c r="J15" s="66">
        <f t="shared" si="3"/>
        <v>6434</v>
      </c>
      <c r="K15" s="66">
        <f t="shared" si="3"/>
        <v>1354</v>
      </c>
      <c r="L15" s="66">
        <f t="shared" si="3"/>
        <v>670</v>
      </c>
      <c r="M15" s="66">
        <f t="shared" si="3"/>
        <v>0</v>
      </c>
      <c r="N15" s="66">
        <f t="shared" si="3"/>
        <v>0</v>
      </c>
      <c r="O15" s="66">
        <f t="shared" si="3"/>
        <v>0</v>
      </c>
      <c r="P15" s="66">
        <f t="shared" si="4"/>
        <v>0</v>
      </c>
      <c r="Q15" s="66">
        <f t="shared" si="4"/>
        <v>0</v>
      </c>
      <c r="R15" s="66">
        <f t="shared" si="4"/>
        <v>0</v>
      </c>
      <c r="S15" s="66">
        <f t="shared" si="4"/>
        <v>0</v>
      </c>
      <c r="T15" s="66">
        <f t="shared" si="4"/>
        <v>0</v>
      </c>
      <c r="U15" s="66">
        <f t="shared" si="4"/>
        <v>0</v>
      </c>
      <c r="V15" s="66">
        <f t="shared" si="4"/>
        <v>0</v>
      </c>
      <c r="W15" s="66">
        <f t="shared" si="4"/>
        <v>0</v>
      </c>
      <c r="X15" s="66">
        <f t="shared" si="4"/>
        <v>0</v>
      </c>
      <c r="Y15" s="66">
        <f t="shared" si="4"/>
        <v>0</v>
      </c>
      <c r="Z15" s="66">
        <f t="shared" si="5"/>
        <v>0</v>
      </c>
      <c r="AA15" s="66">
        <f t="shared" si="5"/>
        <v>0</v>
      </c>
      <c r="AB15" s="66">
        <f t="shared" si="5"/>
        <v>0</v>
      </c>
      <c r="AC15" s="66">
        <f t="shared" si="5"/>
        <v>0</v>
      </c>
      <c r="AD15" s="66">
        <f t="shared" si="5"/>
        <v>0</v>
      </c>
      <c r="AE15" s="66">
        <f t="shared" si="5"/>
        <v>0</v>
      </c>
      <c r="AF15" s="66">
        <f t="shared" si="5"/>
        <v>0</v>
      </c>
      <c r="AG15" s="66">
        <f t="shared" si="5"/>
        <v>0</v>
      </c>
      <c r="AH15" s="66">
        <f t="shared" si="5"/>
        <v>0</v>
      </c>
      <c r="AI15" s="66">
        <f t="shared" si="5"/>
        <v>0</v>
      </c>
      <c r="AJ15" s="66">
        <f t="shared" si="6"/>
        <v>0</v>
      </c>
      <c r="AK15" s="66">
        <f t="shared" si="6"/>
        <v>0</v>
      </c>
      <c r="AL15" s="66">
        <f t="shared" si="6"/>
        <v>0</v>
      </c>
      <c r="AM15" s="66">
        <f t="shared" si="6"/>
        <v>0</v>
      </c>
      <c r="AN15" s="66">
        <f t="shared" si="6"/>
        <v>0</v>
      </c>
      <c r="AO15" s="66">
        <f t="shared" si="6"/>
        <v>0</v>
      </c>
    </row>
    <row r="16" spans="1:41" ht="12.75">
      <c r="A16" s="32">
        <f t="shared" si="7"/>
        <v>36220</v>
      </c>
      <c r="B16" s="36">
        <f>IF($A16="","",IF(VLOOKUP($A16,TrendFacDump,2,FALSE)=0,0,VLOOKUP(EOMONTH(ValDat,-1)+1,TrendFacDump,2,FALSE)/VLOOKUP($A16,TrendFacDump,2,FALSE)))</f>
        <v>1.1456065986940085</v>
      </c>
      <c r="C16" s="50">
        <f t="shared" si="1"/>
        <v>2829.576</v>
      </c>
      <c r="D16" s="66">
        <f t="shared" si="2"/>
        <v>186494</v>
      </c>
      <c r="E16" s="67">
        <f>IF($A16="","",E15+F16+G15+H14+I13+J12+K11+L10+M9)</f>
        <v>1030485</v>
      </c>
      <c r="F16" s="66">
        <f t="shared" si="3"/>
        <v>22541</v>
      </c>
      <c r="G16" s="66">
        <f t="shared" si="3"/>
        <v>122603</v>
      </c>
      <c r="H16" s="66">
        <f t="shared" si="3"/>
        <v>33881</v>
      </c>
      <c r="I16" s="66">
        <f t="shared" si="3"/>
        <v>1847</v>
      </c>
      <c r="J16" s="66">
        <f t="shared" si="3"/>
        <v>3742</v>
      </c>
      <c r="K16" s="66">
        <f t="shared" si="3"/>
        <v>1210</v>
      </c>
      <c r="L16" s="66">
        <f t="shared" si="3"/>
        <v>670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66">
        <f t="shared" si="4"/>
        <v>0</v>
      </c>
      <c r="Q16" s="66">
        <f t="shared" si="4"/>
        <v>0</v>
      </c>
      <c r="R16" s="66">
        <f t="shared" si="4"/>
        <v>0</v>
      </c>
      <c r="S16" s="66">
        <f t="shared" si="4"/>
        <v>0</v>
      </c>
      <c r="T16" s="66">
        <f t="shared" si="4"/>
        <v>0</v>
      </c>
      <c r="U16" s="66">
        <f t="shared" si="4"/>
        <v>0</v>
      </c>
      <c r="V16" s="66">
        <f t="shared" si="4"/>
        <v>0</v>
      </c>
      <c r="W16" s="66">
        <f t="shared" si="4"/>
        <v>0</v>
      </c>
      <c r="X16" s="66">
        <f t="shared" si="4"/>
        <v>0</v>
      </c>
      <c r="Y16" s="66">
        <f t="shared" si="4"/>
        <v>0</v>
      </c>
      <c r="Z16" s="66">
        <f t="shared" si="5"/>
        <v>0</v>
      </c>
      <c r="AA16" s="66">
        <f t="shared" si="5"/>
        <v>0</v>
      </c>
      <c r="AB16" s="66">
        <f t="shared" si="5"/>
        <v>0</v>
      </c>
      <c r="AC16" s="66">
        <f t="shared" si="5"/>
        <v>0</v>
      </c>
      <c r="AD16" s="66">
        <f t="shared" si="5"/>
        <v>0</v>
      </c>
      <c r="AE16" s="66">
        <f t="shared" si="5"/>
        <v>0</v>
      </c>
      <c r="AF16" s="66">
        <f t="shared" si="5"/>
        <v>0</v>
      </c>
      <c r="AG16" s="66">
        <f t="shared" si="5"/>
        <v>0</v>
      </c>
      <c r="AH16" s="66">
        <f t="shared" si="5"/>
        <v>0</v>
      </c>
      <c r="AI16" s="66">
        <f t="shared" si="5"/>
        <v>0</v>
      </c>
      <c r="AJ16" s="66">
        <f t="shared" si="6"/>
        <v>0</v>
      </c>
      <c r="AK16" s="66">
        <f t="shared" si="6"/>
        <v>0</v>
      </c>
      <c r="AL16" s="66">
        <f t="shared" si="6"/>
        <v>0</v>
      </c>
      <c r="AM16" s="66">
        <f t="shared" si="6"/>
        <v>0</v>
      </c>
      <c r="AN16" s="66">
        <f t="shared" si="6"/>
        <v>0</v>
      </c>
      <c r="AO16" s="66">
        <f t="shared" si="6"/>
        <v>0</v>
      </c>
    </row>
    <row r="17" spans="1:41" ht="12.75">
      <c r="A17" s="32">
        <f t="shared" si="7"/>
        <v>36251</v>
      </c>
      <c r="B17" s="36">
        <f>IF($A17="","",IF(VLOOKUP($A17,TrendFacDump,2,FALSE)=0,0,VLOOKUP(EOMONTH(ValDat,-1)+1,TrendFacDump,2,FALSE)/VLOOKUP($A17,TrendFacDump,2,FALSE)))</f>
        <v>1.1401208528103979</v>
      </c>
      <c r="C17" s="50">
        <f t="shared" si="1"/>
        <v>2910.367</v>
      </c>
      <c r="D17" s="66">
        <f t="shared" si="2"/>
        <v>255986</v>
      </c>
      <c r="E17" s="67">
        <f>IF($A17="","",E16+F17+G16+H15+I14+J13+K12+L11+M10+N9)</f>
        <v>1273900</v>
      </c>
      <c r="F17" s="66">
        <f t="shared" si="3"/>
        <v>13576</v>
      </c>
      <c r="G17" s="66">
        <f t="shared" si="3"/>
        <v>98490</v>
      </c>
      <c r="H17" s="66">
        <f t="shared" si="3"/>
        <v>88390</v>
      </c>
      <c r="I17" s="66">
        <f t="shared" si="3"/>
        <v>43589</v>
      </c>
      <c r="J17" s="66">
        <f t="shared" si="3"/>
        <v>3662</v>
      </c>
      <c r="K17" s="66">
        <f t="shared" si="3"/>
        <v>1893</v>
      </c>
      <c r="L17" s="66">
        <f t="shared" si="3"/>
        <v>2160</v>
      </c>
      <c r="M17" s="66">
        <f t="shared" si="3"/>
        <v>72</v>
      </c>
      <c r="N17" s="66">
        <f t="shared" si="3"/>
        <v>4154</v>
      </c>
      <c r="O17" s="66">
        <f t="shared" si="3"/>
        <v>0</v>
      </c>
      <c r="P17" s="66">
        <f t="shared" si="4"/>
        <v>0</v>
      </c>
      <c r="Q17" s="66">
        <f t="shared" si="4"/>
        <v>0</v>
      </c>
      <c r="R17" s="66">
        <f t="shared" si="4"/>
        <v>0</v>
      </c>
      <c r="S17" s="66">
        <f t="shared" si="4"/>
        <v>0</v>
      </c>
      <c r="T17" s="66">
        <f t="shared" si="4"/>
        <v>0</v>
      </c>
      <c r="U17" s="66">
        <f t="shared" si="4"/>
        <v>0</v>
      </c>
      <c r="V17" s="66">
        <f t="shared" si="4"/>
        <v>0</v>
      </c>
      <c r="W17" s="66">
        <f t="shared" si="4"/>
        <v>0</v>
      </c>
      <c r="X17" s="66">
        <f t="shared" si="4"/>
        <v>0</v>
      </c>
      <c r="Y17" s="66">
        <f t="shared" si="4"/>
        <v>0</v>
      </c>
      <c r="Z17" s="66">
        <f t="shared" si="5"/>
        <v>0</v>
      </c>
      <c r="AA17" s="66">
        <f t="shared" si="5"/>
        <v>0</v>
      </c>
      <c r="AB17" s="66">
        <f t="shared" si="5"/>
        <v>0</v>
      </c>
      <c r="AC17" s="66">
        <f t="shared" si="5"/>
        <v>0</v>
      </c>
      <c r="AD17" s="66">
        <f t="shared" si="5"/>
        <v>0</v>
      </c>
      <c r="AE17" s="66">
        <f t="shared" si="5"/>
        <v>0</v>
      </c>
      <c r="AF17" s="66">
        <f t="shared" si="5"/>
        <v>0</v>
      </c>
      <c r="AG17" s="66">
        <f t="shared" si="5"/>
        <v>0</v>
      </c>
      <c r="AH17" s="66">
        <f t="shared" si="5"/>
        <v>0</v>
      </c>
      <c r="AI17" s="66">
        <f t="shared" si="5"/>
        <v>0</v>
      </c>
      <c r="AJ17" s="66">
        <f t="shared" si="6"/>
        <v>0</v>
      </c>
      <c r="AK17" s="66">
        <f t="shared" si="6"/>
        <v>0</v>
      </c>
      <c r="AL17" s="66">
        <f t="shared" si="6"/>
        <v>0</v>
      </c>
      <c r="AM17" s="66">
        <f t="shared" si="6"/>
        <v>0</v>
      </c>
      <c r="AN17" s="66">
        <f t="shared" si="6"/>
        <v>0</v>
      </c>
      <c r="AO17" s="66">
        <f t="shared" si="6"/>
        <v>0</v>
      </c>
    </row>
    <row r="18" spans="1:41" ht="12.75">
      <c r="A18" s="32">
        <f t="shared" si="7"/>
        <v>36281</v>
      </c>
      <c r="B18" s="36">
        <f>IF($A18="","",IF(VLOOKUP($A18,TrendFacDump,2,FALSE)=0,0,VLOOKUP(EOMONTH(ValDat,-1)+1,TrendFacDump,2,FALSE)/VLOOKUP($A18,TrendFacDump,2,FALSE)))</f>
        <v>1.1345586566825505</v>
      </c>
      <c r="C18" s="50">
        <f t="shared" si="1"/>
        <v>2874.026</v>
      </c>
      <c r="D18" s="66">
        <f t="shared" si="2"/>
        <v>255986</v>
      </c>
      <c r="E18" s="67">
        <f>IF($A18="","",E17+F18+G17+H16+I15+J14+K13+L12+M11+N10+O9)</f>
        <v>1443381</v>
      </c>
      <c r="F18" s="66">
        <f t="shared" si="3"/>
        <v>33308</v>
      </c>
      <c r="G18" s="66">
        <f t="shared" si="3"/>
        <v>90083</v>
      </c>
      <c r="H18" s="66">
        <f t="shared" si="3"/>
        <v>107509</v>
      </c>
      <c r="I18" s="66">
        <f t="shared" si="3"/>
        <v>13397</v>
      </c>
      <c r="J18" s="66">
        <f t="shared" si="3"/>
        <v>3572</v>
      </c>
      <c r="K18" s="66">
        <f t="shared" si="3"/>
        <v>3399</v>
      </c>
      <c r="L18" s="66">
        <f t="shared" si="3"/>
        <v>492</v>
      </c>
      <c r="M18" s="66">
        <f t="shared" si="3"/>
        <v>72</v>
      </c>
      <c r="N18" s="66">
        <f t="shared" si="3"/>
        <v>4154</v>
      </c>
      <c r="O18" s="66">
        <f t="shared" si="3"/>
        <v>0</v>
      </c>
      <c r="P18" s="66">
        <f t="shared" si="4"/>
        <v>0</v>
      </c>
      <c r="Q18" s="66">
        <f t="shared" si="4"/>
        <v>0</v>
      </c>
      <c r="R18" s="66">
        <f t="shared" si="4"/>
        <v>0</v>
      </c>
      <c r="S18" s="66">
        <f t="shared" si="4"/>
        <v>0</v>
      </c>
      <c r="T18" s="66">
        <f t="shared" si="4"/>
        <v>0</v>
      </c>
      <c r="U18" s="66">
        <f t="shared" si="4"/>
        <v>0</v>
      </c>
      <c r="V18" s="66">
        <f t="shared" si="4"/>
        <v>0</v>
      </c>
      <c r="W18" s="66">
        <f t="shared" si="4"/>
        <v>0</v>
      </c>
      <c r="X18" s="66">
        <f t="shared" si="4"/>
        <v>0</v>
      </c>
      <c r="Y18" s="66">
        <f t="shared" si="4"/>
        <v>0</v>
      </c>
      <c r="Z18" s="66">
        <f t="shared" si="5"/>
        <v>0</v>
      </c>
      <c r="AA18" s="66">
        <f t="shared" si="5"/>
        <v>0</v>
      </c>
      <c r="AB18" s="66">
        <f t="shared" si="5"/>
        <v>0</v>
      </c>
      <c r="AC18" s="66">
        <f t="shared" si="5"/>
        <v>0</v>
      </c>
      <c r="AD18" s="66">
        <f t="shared" si="5"/>
        <v>0</v>
      </c>
      <c r="AE18" s="66">
        <f t="shared" si="5"/>
        <v>0</v>
      </c>
      <c r="AF18" s="66">
        <f t="shared" si="5"/>
        <v>0</v>
      </c>
      <c r="AG18" s="66">
        <f t="shared" si="5"/>
        <v>0</v>
      </c>
      <c r="AH18" s="66">
        <f t="shared" si="5"/>
        <v>0</v>
      </c>
      <c r="AI18" s="66">
        <f t="shared" si="5"/>
        <v>0</v>
      </c>
      <c r="AJ18" s="66">
        <f t="shared" si="6"/>
        <v>0</v>
      </c>
      <c r="AK18" s="66">
        <f t="shared" si="6"/>
        <v>0</v>
      </c>
      <c r="AL18" s="66">
        <f t="shared" si="6"/>
        <v>0</v>
      </c>
      <c r="AM18" s="66">
        <f t="shared" si="6"/>
        <v>0</v>
      </c>
      <c r="AN18" s="66">
        <f t="shared" si="6"/>
        <v>0</v>
      </c>
      <c r="AO18" s="66">
        <f t="shared" si="6"/>
        <v>0</v>
      </c>
    </row>
    <row r="19" spans="1:41" ht="12.75">
      <c r="A19" s="32">
        <f t="shared" si="7"/>
        <v>36312</v>
      </c>
      <c r="B19" s="36">
        <f>IF($A19="","",IF(VLOOKUP($A19,TrendFacDump,2,FALSE)=0,0,VLOOKUP(EOMONTH(ValDat,-1)+1,TrendFacDump,2,FALSE)/VLOOKUP($A19,TrendFacDump,2,FALSE)))</f>
        <v>1.1290504685559444</v>
      </c>
      <c r="C19" s="50">
        <f t="shared" si="1"/>
        <v>2840.922</v>
      </c>
      <c r="D19" s="66">
        <f t="shared" si="2"/>
        <v>218545</v>
      </c>
      <c r="E19" s="67">
        <f>IF($A19="","",E18+F19+G18+H17+I16+J15+K14+L13+M12+N11+O10+P9)</f>
        <v>1636690</v>
      </c>
      <c r="F19" s="66">
        <f aca="true" t="shared" si="8" ref="F19:O28">IF($A19="","",VLOOKUP($A19,PaidDump,F$8+2,FALSE))</f>
        <v>6555</v>
      </c>
      <c r="G19" s="66">
        <f t="shared" si="8"/>
        <v>111208</v>
      </c>
      <c r="H19" s="66">
        <f t="shared" si="8"/>
        <v>44850</v>
      </c>
      <c r="I19" s="66">
        <f t="shared" si="8"/>
        <v>15516</v>
      </c>
      <c r="J19" s="66">
        <f t="shared" si="8"/>
        <v>14096</v>
      </c>
      <c r="K19" s="66">
        <f t="shared" si="8"/>
        <v>20812</v>
      </c>
      <c r="L19" s="66">
        <f t="shared" si="8"/>
        <v>1119</v>
      </c>
      <c r="M19" s="66">
        <f t="shared" si="8"/>
        <v>484</v>
      </c>
      <c r="N19" s="66">
        <f t="shared" si="8"/>
        <v>5922</v>
      </c>
      <c r="O19" s="66">
        <f t="shared" si="8"/>
        <v>-2017</v>
      </c>
      <c r="P19" s="66">
        <f aca="true" t="shared" si="9" ref="P19:Y28">IF($A19="","",VLOOKUP($A19,PaidDump,P$8+2,FALSE))</f>
        <v>0</v>
      </c>
      <c r="Q19" s="66">
        <f t="shared" si="9"/>
        <v>0</v>
      </c>
      <c r="R19" s="66">
        <f t="shared" si="9"/>
        <v>0</v>
      </c>
      <c r="S19" s="66">
        <f t="shared" si="9"/>
        <v>0</v>
      </c>
      <c r="T19" s="66">
        <f t="shared" si="9"/>
        <v>0</v>
      </c>
      <c r="U19" s="66">
        <f t="shared" si="9"/>
        <v>0</v>
      </c>
      <c r="V19" s="66">
        <f t="shared" si="9"/>
        <v>0</v>
      </c>
      <c r="W19" s="66">
        <f t="shared" si="9"/>
        <v>0</v>
      </c>
      <c r="X19" s="66">
        <f t="shared" si="9"/>
        <v>0</v>
      </c>
      <c r="Y19" s="66">
        <f t="shared" si="9"/>
        <v>0</v>
      </c>
      <c r="Z19" s="66">
        <f aca="true" t="shared" si="10" ref="Z19:AI28">IF($A19="","",VLOOKUP($A19,PaidDump,Z$8+2,FALSE))</f>
        <v>0</v>
      </c>
      <c r="AA19" s="66">
        <f t="shared" si="10"/>
        <v>0</v>
      </c>
      <c r="AB19" s="66">
        <f t="shared" si="10"/>
        <v>0</v>
      </c>
      <c r="AC19" s="66">
        <f t="shared" si="10"/>
        <v>0</v>
      </c>
      <c r="AD19" s="66">
        <f t="shared" si="10"/>
        <v>0</v>
      </c>
      <c r="AE19" s="66">
        <f t="shared" si="10"/>
        <v>0</v>
      </c>
      <c r="AF19" s="66">
        <f t="shared" si="10"/>
        <v>0</v>
      </c>
      <c r="AG19" s="66">
        <f t="shared" si="10"/>
        <v>0</v>
      </c>
      <c r="AH19" s="66">
        <f t="shared" si="10"/>
        <v>0</v>
      </c>
      <c r="AI19" s="66">
        <f t="shared" si="10"/>
        <v>0</v>
      </c>
      <c r="AJ19" s="66">
        <f aca="true" t="shared" si="11" ref="AJ19:AO28">IF($A19="","",VLOOKUP($A19,PaidDump,AJ$8+2,FALSE))</f>
        <v>0</v>
      </c>
      <c r="AK19" s="66">
        <f t="shared" si="11"/>
        <v>0</v>
      </c>
      <c r="AL19" s="66">
        <f t="shared" si="11"/>
        <v>0</v>
      </c>
      <c r="AM19" s="66">
        <f t="shared" si="11"/>
        <v>0</v>
      </c>
      <c r="AN19" s="66">
        <f t="shared" si="11"/>
        <v>0</v>
      </c>
      <c r="AO19" s="66">
        <f t="shared" si="11"/>
        <v>0</v>
      </c>
    </row>
    <row r="20" spans="1:41" ht="12.75">
      <c r="A20" s="32">
        <f t="shared" si="7"/>
        <v>36342</v>
      </c>
      <c r="B20" s="36">
        <f>IF($A20="","",IF(VLOOKUP($A20,TrendFacDump,2,FALSE)=0,0,VLOOKUP(EOMONTH(ValDat,-1)+1,TrendFacDump,2,FALSE)/VLOOKUP($A20,TrendFacDump,2,FALSE)))</f>
        <v>1.1235955056179776</v>
      </c>
      <c r="C20" s="50">
        <f t="shared" si="1"/>
        <v>2830.386</v>
      </c>
      <c r="D20" s="66">
        <f t="shared" si="2"/>
        <v>218545</v>
      </c>
      <c r="E20" s="67">
        <f>IF($A20="","",E19+F20+G19+H18+I17+J16+K15+L14+M13+N12+O11+P10+Q9)</f>
        <v>1961904</v>
      </c>
      <c r="F20" s="66">
        <f t="shared" si="8"/>
        <v>57812</v>
      </c>
      <c r="G20" s="66">
        <f t="shared" si="8"/>
        <v>73515</v>
      </c>
      <c r="H20" s="66">
        <f t="shared" si="8"/>
        <v>57928</v>
      </c>
      <c r="I20" s="66">
        <f t="shared" si="8"/>
        <v>10474</v>
      </c>
      <c r="J20" s="66">
        <f t="shared" si="8"/>
        <v>13276</v>
      </c>
      <c r="K20" s="66">
        <f t="shared" si="8"/>
        <v>141</v>
      </c>
      <c r="L20" s="66">
        <f t="shared" si="8"/>
        <v>1010</v>
      </c>
      <c r="M20" s="66">
        <f t="shared" si="8"/>
        <v>484</v>
      </c>
      <c r="N20" s="66">
        <f t="shared" si="8"/>
        <v>6162</v>
      </c>
      <c r="O20" s="66">
        <f t="shared" si="8"/>
        <v>-2257</v>
      </c>
      <c r="P20" s="66">
        <f t="shared" si="9"/>
        <v>0</v>
      </c>
      <c r="Q20" s="66">
        <f t="shared" si="9"/>
        <v>0</v>
      </c>
      <c r="R20" s="66">
        <f t="shared" si="9"/>
        <v>0</v>
      </c>
      <c r="S20" s="66">
        <f t="shared" si="9"/>
        <v>0</v>
      </c>
      <c r="T20" s="66">
        <f t="shared" si="9"/>
        <v>0</v>
      </c>
      <c r="U20" s="66">
        <f t="shared" si="9"/>
        <v>0</v>
      </c>
      <c r="V20" s="66">
        <f t="shared" si="9"/>
        <v>0</v>
      </c>
      <c r="W20" s="66">
        <f t="shared" si="9"/>
        <v>0</v>
      </c>
      <c r="X20" s="66">
        <f t="shared" si="9"/>
        <v>0</v>
      </c>
      <c r="Y20" s="66">
        <f t="shared" si="9"/>
        <v>0</v>
      </c>
      <c r="Z20" s="66">
        <f t="shared" si="10"/>
        <v>0</v>
      </c>
      <c r="AA20" s="66">
        <f t="shared" si="10"/>
        <v>0</v>
      </c>
      <c r="AB20" s="66">
        <f t="shared" si="10"/>
        <v>0</v>
      </c>
      <c r="AC20" s="66">
        <f t="shared" si="10"/>
        <v>0</v>
      </c>
      <c r="AD20" s="66">
        <f t="shared" si="10"/>
        <v>0</v>
      </c>
      <c r="AE20" s="66">
        <f t="shared" si="10"/>
        <v>0</v>
      </c>
      <c r="AF20" s="66">
        <f t="shared" si="10"/>
        <v>0</v>
      </c>
      <c r="AG20" s="66">
        <f t="shared" si="10"/>
        <v>0</v>
      </c>
      <c r="AH20" s="66">
        <f t="shared" si="10"/>
        <v>0</v>
      </c>
      <c r="AI20" s="66">
        <f t="shared" si="10"/>
        <v>0</v>
      </c>
      <c r="AJ20" s="66">
        <f t="shared" si="11"/>
        <v>0</v>
      </c>
      <c r="AK20" s="66">
        <f t="shared" si="11"/>
        <v>0</v>
      </c>
      <c r="AL20" s="66">
        <f t="shared" si="11"/>
        <v>0</v>
      </c>
      <c r="AM20" s="66">
        <f t="shared" si="11"/>
        <v>0</v>
      </c>
      <c r="AN20" s="66">
        <f t="shared" si="11"/>
        <v>0</v>
      </c>
      <c r="AO20" s="66">
        <f t="shared" si="11"/>
        <v>0</v>
      </c>
    </row>
    <row r="21" spans="1:41" ht="12.75">
      <c r="A21" s="32">
        <f t="shared" si="7"/>
        <v>36373</v>
      </c>
      <c r="B21" s="36">
        <f>IF($A21="","",IF(VLOOKUP($A21,TrendFacDump,2,FALSE)=0,0,VLOOKUP(EOMONTH(ValDat,-1)+1,TrendFacDump,2,FALSE)/VLOOKUP($A21,TrendFacDump,2,FALSE)))</f>
        <v>1.1181930001118192</v>
      </c>
      <c r="C21" s="50">
        <f t="shared" si="1"/>
        <v>2957.813</v>
      </c>
      <c r="D21" s="66">
        <f t="shared" si="2"/>
        <v>206958</v>
      </c>
      <c r="E21" s="67">
        <f>IF($A21="","",E20+F21+G20+H19+I18+J17+K16+L15+M14+N13+O12+P11+Q10+R9)</f>
        <v>2117181</v>
      </c>
      <c r="F21" s="66">
        <f t="shared" si="8"/>
        <v>17973</v>
      </c>
      <c r="G21" s="66">
        <f t="shared" si="8"/>
        <v>92380</v>
      </c>
      <c r="H21" s="66">
        <f t="shared" si="8"/>
        <v>33087</v>
      </c>
      <c r="I21" s="66">
        <f t="shared" si="8"/>
        <v>19224</v>
      </c>
      <c r="J21" s="66">
        <f t="shared" si="8"/>
        <v>2579</v>
      </c>
      <c r="K21" s="66">
        <f t="shared" si="8"/>
        <v>2463</v>
      </c>
      <c r="L21" s="66">
        <f t="shared" si="8"/>
        <v>34006</v>
      </c>
      <c r="M21" s="66">
        <f t="shared" si="8"/>
        <v>-80</v>
      </c>
      <c r="N21" s="66">
        <f t="shared" si="8"/>
        <v>309</v>
      </c>
      <c r="O21" s="66">
        <f t="shared" si="8"/>
        <v>3572</v>
      </c>
      <c r="P21" s="66">
        <f t="shared" si="9"/>
        <v>13</v>
      </c>
      <c r="Q21" s="66">
        <f t="shared" si="9"/>
        <v>1432</v>
      </c>
      <c r="R21" s="66">
        <f t="shared" si="9"/>
        <v>0</v>
      </c>
      <c r="S21" s="66">
        <f t="shared" si="9"/>
        <v>0</v>
      </c>
      <c r="T21" s="66">
        <f t="shared" si="9"/>
        <v>0</v>
      </c>
      <c r="U21" s="66">
        <f t="shared" si="9"/>
        <v>0</v>
      </c>
      <c r="V21" s="66">
        <f t="shared" si="9"/>
        <v>0</v>
      </c>
      <c r="W21" s="66">
        <f t="shared" si="9"/>
        <v>0</v>
      </c>
      <c r="X21" s="66">
        <f t="shared" si="9"/>
        <v>0</v>
      </c>
      <c r="Y21" s="66">
        <f t="shared" si="9"/>
        <v>0</v>
      </c>
      <c r="Z21" s="66">
        <f t="shared" si="10"/>
        <v>0</v>
      </c>
      <c r="AA21" s="66">
        <f t="shared" si="10"/>
        <v>0</v>
      </c>
      <c r="AB21" s="66">
        <f t="shared" si="10"/>
        <v>0</v>
      </c>
      <c r="AC21" s="66">
        <f t="shared" si="10"/>
        <v>0</v>
      </c>
      <c r="AD21" s="66">
        <f t="shared" si="10"/>
        <v>0</v>
      </c>
      <c r="AE21" s="66">
        <f t="shared" si="10"/>
        <v>0</v>
      </c>
      <c r="AF21" s="66">
        <f t="shared" si="10"/>
        <v>0</v>
      </c>
      <c r="AG21" s="66">
        <f t="shared" si="10"/>
        <v>0</v>
      </c>
      <c r="AH21" s="66">
        <f t="shared" si="10"/>
        <v>0</v>
      </c>
      <c r="AI21" s="66">
        <f t="shared" si="10"/>
        <v>0</v>
      </c>
      <c r="AJ21" s="66">
        <f t="shared" si="11"/>
        <v>0</v>
      </c>
      <c r="AK21" s="66">
        <f t="shared" si="11"/>
        <v>0</v>
      </c>
      <c r="AL21" s="66">
        <f t="shared" si="11"/>
        <v>0</v>
      </c>
      <c r="AM21" s="66">
        <f t="shared" si="11"/>
        <v>0</v>
      </c>
      <c r="AN21" s="66">
        <f t="shared" si="11"/>
        <v>0</v>
      </c>
      <c r="AO21" s="66">
        <f t="shared" si="11"/>
        <v>0</v>
      </c>
    </row>
    <row r="22" spans="1:41" ht="12.75">
      <c r="A22" s="32">
        <f t="shared" si="7"/>
        <v>36404</v>
      </c>
      <c r="B22" s="36">
        <f>IF($A22="","",IF(VLOOKUP($A22,TrendFacDump,2,FALSE)=0,0,VLOOKUP(EOMONTH(ValDat,-1)+1,TrendFacDump,2,FALSE)/VLOOKUP($A22,TrendFacDump,2,FALSE)))</f>
        <v>1.1127183709803048</v>
      </c>
      <c r="C22" s="50">
        <f t="shared" si="1"/>
        <v>2973.885</v>
      </c>
      <c r="D22" s="66">
        <f t="shared" si="2"/>
        <v>206958</v>
      </c>
      <c r="E22" s="67">
        <f>IF($A22="","",E21+F22+G21+H20+I19+J18+K17+L16+M15+N14+O13+P12+Q11+R10+S9)</f>
        <v>2324740</v>
      </c>
      <c r="F22" s="66">
        <f t="shared" si="8"/>
        <v>35600</v>
      </c>
      <c r="G22" s="66">
        <f t="shared" si="8"/>
        <v>88108</v>
      </c>
      <c r="H22" s="66">
        <f t="shared" si="8"/>
        <v>29728</v>
      </c>
      <c r="I22" s="66">
        <f t="shared" si="8"/>
        <v>10188</v>
      </c>
      <c r="J22" s="66">
        <f t="shared" si="8"/>
        <v>5698</v>
      </c>
      <c r="K22" s="66">
        <f t="shared" si="8"/>
        <v>1709</v>
      </c>
      <c r="L22" s="66">
        <f t="shared" si="8"/>
        <v>30681</v>
      </c>
      <c r="M22" s="66">
        <f t="shared" si="8"/>
        <v>-80</v>
      </c>
      <c r="N22" s="66">
        <f t="shared" si="8"/>
        <v>3589</v>
      </c>
      <c r="O22" s="66">
        <f t="shared" si="8"/>
        <v>292</v>
      </c>
      <c r="P22" s="66">
        <f t="shared" si="9"/>
        <v>13</v>
      </c>
      <c r="Q22" s="66">
        <f t="shared" si="9"/>
        <v>1432</v>
      </c>
      <c r="R22" s="66">
        <f t="shared" si="9"/>
        <v>0</v>
      </c>
      <c r="S22" s="66">
        <f t="shared" si="9"/>
        <v>0</v>
      </c>
      <c r="T22" s="66">
        <f t="shared" si="9"/>
        <v>0</v>
      </c>
      <c r="U22" s="66">
        <f t="shared" si="9"/>
        <v>0</v>
      </c>
      <c r="V22" s="66">
        <f t="shared" si="9"/>
        <v>0</v>
      </c>
      <c r="W22" s="66">
        <f t="shared" si="9"/>
        <v>0</v>
      </c>
      <c r="X22" s="66">
        <f t="shared" si="9"/>
        <v>0</v>
      </c>
      <c r="Y22" s="66">
        <f t="shared" si="9"/>
        <v>0</v>
      </c>
      <c r="Z22" s="66">
        <f t="shared" si="10"/>
        <v>0</v>
      </c>
      <c r="AA22" s="66">
        <f t="shared" si="10"/>
        <v>0</v>
      </c>
      <c r="AB22" s="66">
        <f t="shared" si="10"/>
        <v>0</v>
      </c>
      <c r="AC22" s="66">
        <f t="shared" si="10"/>
        <v>0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0</v>
      </c>
      <c r="AH22" s="66">
        <f t="shared" si="10"/>
        <v>0</v>
      </c>
      <c r="AI22" s="66">
        <f t="shared" si="10"/>
        <v>0</v>
      </c>
      <c r="AJ22" s="66">
        <f t="shared" si="11"/>
        <v>0</v>
      </c>
      <c r="AK22" s="66">
        <f t="shared" si="11"/>
        <v>0</v>
      </c>
      <c r="AL22" s="66">
        <f t="shared" si="11"/>
        <v>0</v>
      </c>
      <c r="AM22" s="66">
        <f t="shared" si="11"/>
        <v>0</v>
      </c>
      <c r="AN22" s="66">
        <f t="shared" si="11"/>
        <v>0</v>
      </c>
      <c r="AO22" s="66">
        <f t="shared" si="11"/>
        <v>0</v>
      </c>
    </row>
    <row r="23" spans="1:41" ht="12.75">
      <c r="A23" s="32">
        <f t="shared" si="7"/>
        <v>36434</v>
      </c>
      <c r="B23" s="36">
        <f>IF($A23="","",IF(VLOOKUP($A23,TrendFacDump,2,FALSE)=0,0,VLOOKUP(EOMONTH(ValDat,-1)+1,TrendFacDump,2,FALSE)/VLOOKUP($A23,TrendFacDump,2,FALSE)))</f>
        <v>1.107297087808659</v>
      </c>
      <c r="C23" s="50">
        <f t="shared" si="1"/>
        <v>2943.35</v>
      </c>
      <c r="D23" s="66">
        <f t="shared" si="2"/>
        <v>95546</v>
      </c>
      <c r="E23" s="67">
        <f>IF($A23="","",E22+F23+G22+H21+I20+J19+K18+L17+M16+N15+O14+P13+Q12+R11+S10+T9)</f>
        <v>2485241</v>
      </c>
      <c r="F23" s="66">
        <f t="shared" si="8"/>
        <v>9177</v>
      </c>
      <c r="G23" s="66">
        <f t="shared" si="8"/>
        <v>52091</v>
      </c>
      <c r="H23" s="66">
        <f t="shared" si="8"/>
        <v>8840</v>
      </c>
      <c r="I23" s="66">
        <f t="shared" si="8"/>
        <v>4870</v>
      </c>
      <c r="J23" s="66">
        <f t="shared" si="8"/>
        <v>4827</v>
      </c>
      <c r="K23" s="66">
        <f t="shared" si="8"/>
        <v>13323</v>
      </c>
      <c r="L23" s="66">
        <f t="shared" si="8"/>
        <v>-7175</v>
      </c>
      <c r="M23" s="66">
        <f t="shared" si="8"/>
        <v>1423</v>
      </c>
      <c r="N23" s="66">
        <f t="shared" si="8"/>
        <v>384</v>
      </c>
      <c r="O23" s="66">
        <f t="shared" si="8"/>
        <v>278</v>
      </c>
      <c r="P23" s="66">
        <f t="shared" si="9"/>
        <v>6985</v>
      </c>
      <c r="Q23" s="66">
        <f t="shared" si="9"/>
        <v>227</v>
      </c>
      <c r="R23" s="66">
        <f t="shared" si="9"/>
        <v>240</v>
      </c>
      <c r="S23" s="66">
        <f t="shared" si="9"/>
        <v>56</v>
      </c>
      <c r="T23" s="66">
        <f t="shared" si="9"/>
        <v>0</v>
      </c>
      <c r="U23" s="66">
        <f t="shared" si="9"/>
        <v>0</v>
      </c>
      <c r="V23" s="66">
        <f t="shared" si="9"/>
        <v>0</v>
      </c>
      <c r="W23" s="66">
        <f t="shared" si="9"/>
        <v>0</v>
      </c>
      <c r="X23" s="66">
        <f t="shared" si="9"/>
        <v>0</v>
      </c>
      <c r="Y23" s="66">
        <f t="shared" si="9"/>
        <v>0</v>
      </c>
      <c r="Z23" s="66">
        <f t="shared" si="10"/>
        <v>0</v>
      </c>
      <c r="AA23" s="66">
        <f t="shared" si="10"/>
        <v>0</v>
      </c>
      <c r="AB23" s="66">
        <f t="shared" si="10"/>
        <v>0</v>
      </c>
      <c r="AC23" s="66">
        <f t="shared" si="10"/>
        <v>0</v>
      </c>
      <c r="AD23" s="66">
        <f t="shared" si="10"/>
        <v>0</v>
      </c>
      <c r="AE23" s="66">
        <f t="shared" si="10"/>
        <v>0</v>
      </c>
      <c r="AF23" s="66">
        <f t="shared" si="10"/>
        <v>0</v>
      </c>
      <c r="AG23" s="66">
        <f t="shared" si="10"/>
        <v>0</v>
      </c>
      <c r="AH23" s="66">
        <f t="shared" si="10"/>
        <v>0</v>
      </c>
      <c r="AI23" s="66">
        <f t="shared" si="10"/>
        <v>0</v>
      </c>
      <c r="AJ23" s="66">
        <f t="shared" si="11"/>
        <v>0</v>
      </c>
      <c r="AK23" s="66">
        <f t="shared" si="11"/>
        <v>0</v>
      </c>
      <c r="AL23" s="66">
        <f t="shared" si="11"/>
        <v>0</v>
      </c>
      <c r="AM23" s="66">
        <f t="shared" si="11"/>
        <v>0</v>
      </c>
      <c r="AN23" s="66">
        <f t="shared" si="11"/>
        <v>0</v>
      </c>
      <c r="AO23" s="66">
        <f t="shared" si="11"/>
        <v>0</v>
      </c>
    </row>
    <row r="24" spans="1:41" ht="12.75">
      <c r="A24" s="32">
        <f t="shared" si="7"/>
        <v>36465</v>
      </c>
      <c r="B24" s="36">
        <f>IF($A24="","",IF(VLOOKUP($A24,TrendFacDump,2,FALSE)=0,0,VLOOKUP(EOMONTH(ValDat,-1)+1,TrendFacDump,2,FALSE)/VLOOKUP($A24,TrendFacDump,2,FALSE)))</f>
        <v>1.1019283746556474</v>
      </c>
      <c r="C24" s="50">
        <f t="shared" si="1"/>
        <v>3014.083</v>
      </c>
      <c r="D24" s="66">
        <f t="shared" si="2"/>
        <v>95546</v>
      </c>
      <c r="E24" s="67">
        <f>IF($A24="","",E23+F24+G23+H22+I21+J20+K19+L18+M17+N16+O15+P14+Q13+R12+S11+T10+U9)</f>
        <v>2642502</v>
      </c>
      <c r="F24" s="66">
        <f t="shared" si="8"/>
        <v>21566</v>
      </c>
      <c r="G24" s="66">
        <f t="shared" si="8"/>
        <v>44918</v>
      </c>
      <c r="H24" s="66">
        <f t="shared" si="8"/>
        <v>5794</v>
      </c>
      <c r="I24" s="66">
        <f t="shared" si="8"/>
        <v>3493</v>
      </c>
      <c r="J24" s="66">
        <f t="shared" si="8"/>
        <v>4941</v>
      </c>
      <c r="K24" s="66">
        <f t="shared" si="8"/>
        <v>13013</v>
      </c>
      <c r="L24" s="66">
        <f t="shared" si="8"/>
        <v>-7298</v>
      </c>
      <c r="M24" s="66">
        <f t="shared" si="8"/>
        <v>949</v>
      </c>
      <c r="N24" s="66">
        <f t="shared" si="8"/>
        <v>492</v>
      </c>
      <c r="O24" s="66">
        <f t="shared" si="8"/>
        <v>213</v>
      </c>
      <c r="P24" s="66">
        <f t="shared" si="9"/>
        <v>6942</v>
      </c>
      <c r="Q24" s="66">
        <f t="shared" si="9"/>
        <v>227</v>
      </c>
      <c r="R24" s="66">
        <f t="shared" si="9"/>
        <v>240</v>
      </c>
      <c r="S24" s="66">
        <f t="shared" si="9"/>
        <v>56</v>
      </c>
      <c r="T24" s="66">
        <f t="shared" si="9"/>
        <v>0</v>
      </c>
      <c r="U24" s="66">
        <f t="shared" si="9"/>
        <v>0</v>
      </c>
      <c r="V24" s="66">
        <f t="shared" si="9"/>
        <v>0</v>
      </c>
      <c r="W24" s="66">
        <f t="shared" si="9"/>
        <v>0</v>
      </c>
      <c r="X24" s="66">
        <f t="shared" si="9"/>
        <v>0</v>
      </c>
      <c r="Y24" s="66">
        <f t="shared" si="9"/>
        <v>0</v>
      </c>
      <c r="Z24" s="66">
        <f t="shared" si="10"/>
        <v>0</v>
      </c>
      <c r="AA24" s="66">
        <f t="shared" si="10"/>
        <v>0</v>
      </c>
      <c r="AB24" s="66">
        <f t="shared" si="10"/>
        <v>0</v>
      </c>
      <c r="AC24" s="66">
        <f t="shared" si="10"/>
        <v>0</v>
      </c>
      <c r="AD24" s="66">
        <f t="shared" si="10"/>
        <v>0</v>
      </c>
      <c r="AE24" s="66">
        <f t="shared" si="10"/>
        <v>0</v>
      </c>
      <c r="AF24" s="66">
        <f t="shared" si="10"/>
        <v>0</v>
      </c>
      <c r="AG24" s="66">
        <f t="shared" si="10"/>
        <v>0</v>
      </c>
      <c r="AH24" s="66">
        <f t="shared" si="10"/>
        <v>0</v>
      </c>
      <c r="AI24" s="66">
        <f t="shared" si="10"/>
        <v>0</v>
      </c>
      <c r="AJ24" s="66">
        <f t="shared" si="11"/>
        <v>0</v>
      </c>
      <c r="AK24" s="66">
        <f t="shared" si="11"/>
        <v>0</v>
      </c>
      <c r="AL24" s="66">
        <f t="shared" si="11"/>
        <v>0</v>
      </c>
      <c r="AM24" s="66">
        <f t="shared" si="11"/>
        <v>0</v>
      </c>
      <c r="AN24" s="66">
        <f t="shared" si="11"/>
        <v>0</v>
      </c>
      <c r="AO24" s="66">
        <f t="shared" si="11"/>
        <v>0</v>
      </c>
    </row>
    <row r="25" spans="1:41" ht="12.75">
      <c r="A25" s="32">
        <f t="shared" si="7"/>
        <v>36495</v>
      </c>
      <c r="B25" s="36">
        <f>IF($A25="","",IF(VLOOKUP($A25,TrendFacDump,2,FALSE)=0,0,VLOOKUP(EOMONTH(ValDat,-1)+1,TrendFacDump,2,FALSE)/VLOOKUP($A25,TrendFacDump,2,FALSE)))</f>
        <v>1.096611470555982</v>
      </c>
      <c r="C25" s="50">
        <f t="shared" si="1"/>
        <v>3018.721</v>
      </c>
      <c r="D25" s="66">
        <f t="shared" si="2"/>
        <v>219368</v>
      </c>
      <c r="E25" s="67">
        <f>IF($A25="","",E24+F25+G24+H23+I22+J21+K20+L19+M18+N17+O16+P15+Q14+R13+S12+T11+U10+V9)</f>
        <v>2723847</v>
      </c>
      <c r="F25" s="66">
        <f t="shared" si="8"/>
        <v>9334</v>
      </c>
      <c r="G25" s="66">
        <f t="shared" si="8"/>
        <v>90775</v>
      </c>
      <c r="H25" s="66">
        <f t="shared" si="8"/>
        <v>92161</v>
      </c>
      <c r="I25" s="66">
        <f t="shared" si="8"/>
        <v>12514</v>
      </c>
      <c r="J25" s="66">
        <f t="shared" si="8"/>
        <v>4501</v>
      </c>
      <c r="K25" s="66">
        <f t="shared" si="8"/>
        <v>3851</v>
      </c>
      <c r="L25" s="66">
        <f t="shared" si="8"/>
        <v>655</v>
      </c>
      <c r="M25" s="66">
        <f t="shared" si="8"/>
        <v>828</v>
      </c>
      <c r="N25" s="66">
        <f t="shared" si="8"/>
        <v>203</v>
      </c>
      <c r="O25" s="66">
        <f t="shared" si="8"/>
        <v>3333</v>
      </c>
      <c r="P25" s="66">
        <f t="shared" si="9"/>
        <v>581</v>
      </c>
      <c r="Q25" s="66">
        <f t="shared" si="9"/>
        <v>90</v>
      </c>
      <c r="R25" s="66">
        <f t="shared" si="9"/>
        <v>167</v>
      </c>
      <c r="S25" s="66">
        <f t="shared" si="9"/>
        <v>0</v>
      </c>
      <c r="T25" s="66">
        <f t="shared" si="9"/>
        <v>0</v>
      </c>
      <c r="U25" s="66">
        <f t="shared" si="9"/>
        <v>179</v>
      </c>
      <c r="V25" s="66">
        <f t="shared" si="9"/>
        <v>196</v>
      </c>
      <c r="W25" s="66">
        <f t="shared" si="9"/>
        <v>0</v>
      </c>
      <c r="X25" s="66">
        <f t="shared" si="9"/>
        <v>0</v>
      </c>
      <c r="Y25" s="66">
        <f t="shared" si="9"/>
        <v>0</v>
      </c>
      <c r="Z25" s="66">
        <f t="shared" si="10"/>
        <v>0</v>
      </c>
      <c r="AA25" s="66">
        <f t="shared" si="10"/>
        <v>0</v>
      </c>
      <c r="AB25" s="66">
        <f t="shared" si="10"/>
        <v>0</v>
      </c>
      <c r="AC25" s="66">
        <f t="shared" si="10"/>
        <v>0</v>
      </c>
      <c r="AD25" s="66">
        <f t="shared" si="10"/>
        <v>0</v>
      </c>
      <c r="AE25" s="66">
        <f t="shared" si="10"/>
        <v>0</v>
      </c>
      <c r="AF25" s="66">
        <f t="shared" si="10"/>
        <v>0</v>
      </c>
      <c r="AG25" s="66">
        <f t="shared" si="10"/>
        <v>0</v>
      </c>
      <c r="AH25" s="66">
        <f t="shared" si="10"/>
        <v>0</v>
      </c>
      <c r="AI25" s="66">
        <f t="shared" si="10"/>
        <v>0</v>
      </c>
      <c r="AJ25" s="66">
        <f t="shared" si="11"/>
        <v>0</v>
      </c>
      <c r="AK25" s="66">
        <f t="shared" si="11"/>
        <v>0</v>
      </c>
      <c r="AL25" s="66">
        <f t="shared" si="11"/>
        <v>0</v>
      </c>
      <c r="AM25" s="66">
        <f t="shared" si="11"/>
        <v>0</v>
      </c>
      <c r="AN25" s="66">
        <f t="shared" si="11"/>
        <v>0</v>
      </c>
      <c r="AO25" s="66">
        <f t="shared" si="11"/>
        <v>0</v>
      </c>
    </row>
    <row r="26" spans="1:41" ht="12.75">
      <c r="A26" s="32">
        <f t="shared" si="7"/>
        <v>36526</v>
      </c>
      <c r="B26" s="36">
        <f>IF($A26="","",IF(VLOOKUP($A26,TrendFacDump,2,FALSE)=0,0,VLOOKUP(EOMONTH(ValDat,-1)+1,TrendFacDump,2,FALSE)/VLOOKUP($A26,TrendFacDump,2,FALSE)))</f>
        <v>1.0913456291607553</v>
      </c>
      <c r="C26" s="50">
        <f t="shared" si="1"/>
        <v>3003.323</v>
      </c>
      <c r="D26" s="66">
        <f t="shared" si="2"/>
        <v>219368</v>
      </c>
      <c r="E26" s="67">
        <f>IF($A26="","",E25+F26+G25+H24+I23+J22+K21+L20+M19+N18+O17+P16+Q15+R14+S13+T12+U11+V10+W9)</f>
        <v>2890682</v>
      </c>
      <c r="F26" s="66">
        <f t="shared" si="8"/>
        <v>51587</v>
      </c>
      <c r="G26" s="66">
        <f t="shared" si="8"/>
        <v>137822</v>
      </c>
      <c r="H26" s="66">
        <f t="shared" si="8"/>
        <v>7018</v>
      </c>
      <c r="I26" s="66">
        <f t="shared" si="8"/>
        <v>12343</v>
      </c>
      <c r="J26" s="66">
        <f t="shared" si="8"/>
        <v>1008</v>
      </c>
      <c r="K26" s="66">
        <f t="shared" si="8"/>
        <v>3609</v>
      </c>
      <c r="L26" s="66">
        <f t="shared" si="8"/>
        <v>703</v>
      </c>
      <c r="M26" s="66">
        <f t="shared" si="8"/>
        <v>732</v>
      </c>
      <c r="N26" s="66">
        <f t="shared" si="8"/>
        <v>127</v>
      </c>
      <c r="O26" s="66">
        <f t="shared" si="8"/>
        <v>3206</v>
      </c>
      <c r="P26" s="66">
        <f t="shared" si="9"/>
        <v>581</v>
      </c>
      <c r="Q26" s="66">
        <f t="shared" si="9"/>
        <v>115</v>
      </c>
      <c r="R26" s="66">
        <f t="shared" si="9"/>
        <v>142</v>
      </c>
      <c r="S26" s="66">
        <f t="shared" si="9"/>
        <v>0</v>
      </c>
      <c r="T26" s="66">
        <f t="shared" si="9"/>
        <v>0</v>
      </c>
      <c r="U26" s="66">
        <f t="shared" si="9"/>
        <v>375</v>
      </c>
      <c r="V26" s="66">
        <f t="shared" si="9"/>
        <v>0</v>
      </c>
      <c r="W26" s="66">
        <f t="shared" si="9"/>
        <v>0</v>
      </c>
      <c r="X26" s="66">
        <f t="shared" si="9"/>
        <v>0</v>
      </c>
      <c r="Y26" s="66">
        <f t="shared" si="9"/>
        <v>0</v>
      </c>
      <c r="Z26" s="66">
        <f t="shared" si="10"/>
        <v>0</v>
      </c>
      <c r="AA26" s="66">
        <f t="shared" si="10"/>
        <v>0</v>
      </c>
      <c r="AB26" s="66">
        <f t="shared" si="10"/>
        <v>0</v>
      </c>
      <c r="AC26" s="66">
        <f t="shared" si="10"/>
        <v>0</v>
      </c>
      <c r="AD26" s="66">
        <f t="shared" si="10"/>
        <v>0</v>
      </c>
      <c r="AE26" s="66">
        <f t="shared" si="10"/>
        <v>0</v>
      </c>
      <c r="AF26" s="66">
        <f t="shared" si="10"/>
        <v>0</v>
      </c>
      <c r="AG26" s="66">
        <f t="shared" si="10"/>
        <v>0</v>
      </c>
      <c r="AH26" s="66">
        <f t="shared" si="10"/>
        <v>0</v>
      </c>
      <c r="AI26" s="66">
        <f t="shared" si="10"/>
        <v>0</v>
      </c>
      <c r="AJ26" s="66">
        <f t="shared" si="11"/>
        <v>0</v>
      </c>
      <c r="AK26" s="66">
        <f t="shared" si="11"/>
        <v>0</v>
      </c>
      <c r="AL26" s="66">
        <f t="shared" si="11"/>
        <v>0</v>
      </c>
      <c r="AM26" s="66">
        <f t="shared" si="11"/>
        <v>0</v>
      </c>
      <c r="AN26" s="66">
        <f t="shared" si="11"/>
        <v>0</v>
      </c>
      <c r="AO26" s="66">
        <f t="shared" si="11"/>
        <v>0</v>
      </c>
    </row>
    <row r="27" spans="1:41" ht="12.75">
      <c r="A27" s="32">
        <f t="shared" si="7"/>
        <v>36557</v>
      </c>
      <c r="B27" s="36">
        <f>IF($A27="","",IF(VLOOKUP($A27,TrendFacDump,2,FALSE)=0,0,VLOOKUP(EOMONTH(ValDat,-1)+1,TrendFacDump,2,FALSE)/VLOOKUP($A27,TrendFacDump,2,FALSE)))</f>
        <v>1.0860121633362294</v>
      </c>
      <c r="C27" s="50">
        <f t="shared" si="1"/>
        <v>3006.059</v>
      </c>
      <c r="D27" s="66">
        <f t="shared" si="2"/>
        <v>318121</v>
      </c>
      <c r="E27" s="67">
        <f>IF($A27="","",E26+F27+G26+H25+I24+J23+K22+L21+M20+N19+O18+P17+Q16+R15+S14+T13+U12+V11+W10+X9)</f>
        <v>3179667</v>
      </c>
      <c r="F27" s="66">
        <f t="shared" si="8"/>
        <v>8561</v>
      </c>
      <c r="G27" s="66">
        <f t="shared" si="8"/>
        <v>60370</v>
      </c>
      <c r="H27" s="66">
        <f t="shared" si="8"/>
        <v>167781</v>
      </c>
      <c r="I27" s="66">
        <f t="shared" si="8"/>
        <v>11758</v>
      </c>
      <c r="J27" s="66">
        <f t="shared" si="8"/>
        <v>26014</v>
      </c>
      <c r="K27" s="66">
        <f t="shared" si="8"/>
        <v>2620</v>
      </c>
      <c r="L27" s="66">
        <f t="shared" si="8"/>
        <v>22338</v>
      </c>
      <c r="M27" s="66">
        <f t="shared" si="8"/>
        <v>-1676</v>
      </c>
      <c r="N27" s="66">
        <f t="shared" si="8"/>
        <v>677</v>
      </c>
      <c r="O27" s="66">
        <f t="shared" si="8"/>
        <v>280</v>
      </c>
      <c r="P27" s="66">
        <f t="shared" si="9"/>
        <v>799</v>
      </c>
      <c r="Q27" s="66">
        <f t="shared" si="9"/>
        <v>6427</v>
      </c>
      <c r="R27" s="66">
        <f t="shared" si="9"/>
        <v>11304</v>
      </c>
      <c r="S27" s="66">
        <f t="shared" si="9"/>
        <v>519</v>
      </c>
      <c r="T27" s="66">
        <f t="shared" si="9"/>
        <v>19</v>
      </c>
      <c r="U27" s="66">
        <f t="shared" si="9"/>
        <v>0</v>
      </c>
      <c r="V27" s="66">
        <f t="shared" si="9"/>
        <v>97</v>
      </c>
      <c r="W27" s="66">
        <f t="shared" si="9"/>
        <v>9</v>
      </c>
      <c r="X27" s="66">
        <f t="shared" si="9"/>
        <v>224</v>
      </c>
      <c r="Y27" s="66">
        <f t="shared" si="9"/>
        <v>0</v>
      </c>
      <c r="Z27" s="66">
        <f t="shared" si="10"/>
        <v>0</v>
      </c>
      <c r="AA27" s="66">
        <f t="shared" si="10"/>
        <v>0</v>
      </c>
      <c r="AB27" s="66">
        <f t="shared" si="10"/>
        <v>0</v>
      </c>
      <c r="AC27" s="66">
        <f t="shared" si="10"/>
        <v>0</v>
      </c>
      <c r="AD27" s="66">
        <f t="shared" si="10"/>
        <v>0</v>
      </c>
      <c r="AE27" s="66">
        <f t="shared" si="10"/>
        <v>0</v>
      </c>
      <c r="AF27" s="66">
        <f t="shared" si="10"/>
        <v>0</v>
      </c>
      <c r="AG27" s="66">
        <f t="shared" si="10"/>
        <v>0</v>
      </c>
      <c r="AH27" s="66">
        <f t="shared" si="10"/>
        <v>0</v>
      </c>
      <c r="AI27" s="66">
        <f t="shared" si="10"/>
        <v>0</v>
      </c>
      <c r="AJ27" s="66">
        <f t="shared" si="11"/>
        <v>0</v>
      </c>
      <c r="AK27" s="66">
        <f t="shared" si="11"/>
        <v>0</v>
      </c>
      <c r="AL27" s="66">
        <f t="shared" si="11"/>
        <v>0</v>
      </c>
      <c r="AM27" s="66">
        <f t="shared" si="11"/>
        <v>0</v>
      </c>
      <c r="AN27" s="66">
        <f t="shared" si="11"/>
        <v>0</v>
      </c>
      <c r="AO27" s="66">
        <f t="shared" si="11"/>
        <v>0</v>
      </c>
    </row>
    <row r="28" spans="1:41" ht="12.75">
      <c r="A28" s="32">
        <f t="shared" si="7"/>
        <v>36586</v>
      </c>
      <c r="B28" s="36">
        <f>IF($A28="","",IF(VLOOKUP($A28,TrendFacDump,2,FALSE)=0,0,VLOOKUP(EOMONTH(ValDat,-1)+1,TrendFacDump,2,FALSE)/VLOOKUP($A28,TrendFacDump,2,FALSE)))</f>
        <v>1.0808473843493298</v>
      </c>
      <c r="C28" s="50">
        <f t="shared" si="1"/>
        <v>3001.39</v>
      </c>
      <c r="D28" s="66">
        <f t="shared" si="2"/>
        <v>318121</v>
      </c>
      <c r="E28" s="67">
        <f>IF($A28="","",E27+F28+G27+H26+I25+J24+K23+L22+M21+N20+O19+P18+Q17+R16+S15+T14+U13+V12+W11+X10+Y9)</f>
        <v>3337481</v>
      </c>
      <c r="F28" s="66">
        <f t="shared" si="8"/>
        <v>24902</v>
      </c>
      <c r="G28" s="66">
        <f t="shared" si="8"/>
        <v>72373</v>
      </c>
      <c r="H28" s="66">
        <f t="shared" si="8"/>
        <v>149464</v>
      </c>
      <c r="I28" s="66">
        <f t="shared" si="8"/>
        <v>8997</v>
      </c>
      <c r="J28" s="66">
        <f t="shared" si="8"/>
        <v>19057</v>
      </c>
      <c r="K28" s="66">
        <f t="shared" si="8"/>
        <v>2477</v>
      </c>
      <c r="L28" s="66">
        <f t="shared" si="8"/>
        <v>22318</v>
      </c>
      <c r="M28" s="66">
        <f t="shared" si="8"/>
        <v>-1662</v>
      </c>
      <c r="N28" s="66">
        <f t="shared" si="8"/>
        <v>677</v>
      </c>
      <c r="O28" s="66">
        <f t="shared" si="8"/>
        <v>779</v>
      </c>
      <c r="P28" s="66">
        <f t="shared" si="9"/>
        <v>195</v>
      </c>
      <c r="Q28" s="66">
        <f t="shared" si="9"/>
        <v>16998</v>
      </c>
      <c r="R28" s="66">
        <f t="shared" si="9"/>
        <v>678</v>
      </c>
      <c r="S28" s="66">
        <f t="shared" si="9"/>
        <v>538</v>
      </c>
      <c r="T28" s="66">
        <f t="shared" si="9"/>
        <v>0</v>
      </c>
      <c r="U28" s="66">
        <f t="shared" si="9"/>
        <v>84</v>
      </c>
      <c r="V28" s="66">
        <f t="shared" si="9"/>
        <v>13</v>
      </c>
      <c r="W28" s="66">
        <f t="shared" si="9"/>
        <v>233</v>
      </c>
      <c r="X28" s="66">
        <f t="shared" si="9"/>
        <v>0</v>
      </c>
      <c r="Y28" s="66">
        <f t="shared" si="9"/>
        <v>0</v>
      </c>
      <c r="Z28" s="66">
        <f t="shared" si="10"/>
        <v>0</v>
      </c>
      <c r="AA28" s="66">
        <f t="shared" si="10"/>
        <v>0</v>
      </c>
      <c r="AB28" s="66">
        <f t="shared" si="10"/>
        <v>0</v>
      </c>
      <c r="AC28" s="66">
        <f t="shared" si="10"/>
        <v>0</v>
      </c>
      <c r="AD28" s="66">
        <f t="shared" si="10"/>
        <v>0</v>
      </c>
      <c r="AE28" s="66">
        <f t="shared" si="10"/>
        <v>0</v>
      </c>
      <c r="AF28" s="66">
        <f t="shared" si="10"/>
        <v>0</v>
      </c>
      <c r="AG28" s="66">
        <f t="shared" si="10"/>
        <v>0</v>
      </c>
      <c r="AH28" s="66">
        <f t="shared" si="10"/>
        <v>0</v>
      </c>
      <c r="AI28" s="66">
        <f t="shared" si="10"/>
        <v>0</v>
      </c>
      <c r="AJ28" s="66">
        <f t="shared" si="11"/>
        <v>0</v>
      </c>
      <c r="AK28" s="66">
        <f t="shared" si="11"/>
        <v>0</v>
      </c>
      <c r="AL28" s="66">
        <f t="shared" si="11"/>
        <v>0</v>
      </c>
      <c r="AM28" s="66">
        <f t="shared" si="11"/>
        <v>0</v>
      </c>
      <c r="AN28" s="66">
        <f t="shared" si="11"/>
        <v>0</v>
      </c>
      <c r="AO28" s="66">
        <f t="shared" si="11"/>
        <v>0</v>
      </c>
    </row>
    <row r="29" spans="1:41" ht="12.75">
      <c r="A29" s="32">
        <f t="shared" si="7"/>
        <v>36617</v>
      </c>
      <c r="B29" s="36">
        <f>IF($A29="","",IF(VLOOKUP($A29,TrendFacDump,2,FALSE)=0,0,VLOOKUP(EOMONTH(ValDat,-1)+1,TrendFacDump,2,FALSE)/VLOOKUP($A29,TrendFacDump,2,FALSE)))</f>
        <v>1.0755001075500108</v>
      </c>
      <c r="C29" s="50">
        <f t="shared" si="1"/>
        <v>3027.804</v>
      </c>
      <c r="D29" s="66">
        <f t="shared" si="2"/>
        <v>194291</v>
      </c>
      <c r="E29" s="67">
        <f>IF($A29="","",E28+F29+G28+H27+I26+J25+K24+L23+M22+N21+O20+P19+Q18+R17+S16+T15+U14+V13+W12+X11+Y10+Z9)</f>
        <v>3604033</v>
      </c>
      <c r="F29" s="66">
        <f aca="true" t="shared" si="12" ref="F29:O38">IF($A29="","",VLOOKUP($A29,PaidDump,F$8+2,FALSE))</f>
        <v>5744</v>
      </c>
      <c r="G29" s="66">
        <f t="shared" si="12"/>
        <v>88812</v>
      </c>
      <c r="H29" s="66">
        <f t="shared" si="12"/>
        <v>73915</v>
      </c>
      <c r="I29" s="66">
        <f t="shared" si="12"/>
        <v>6913</v>
      </c>
      <c r="J29" s="66">
        <f t="shared" si="12"/>
        <v>10480</v>
      </c>
      <c r="K29" s="66">
        <f t="shared" si="12"/>
        <v>-259</v>
      </c>
      <c r="L29" s="66">
        <f t="shared" si="12"/>
        <v>5261</v>
      </c>
      <c r="M29" s="66">
        <f t="shared" si="12"/>
        <v>430</v>
      </c>
      <c r="N29" s="66">
        <f t="shared" si="12"/>
        <v>116</v>
      </c>
      <c r="O29" s="66">
        <f t="shared" si="12"/>
        <v>1600</v>
      </c>
      <c r="P29" s="66">
        <f aca="true" t="shared" si="13" ref="P29:Y38">IF($A29="","",VLOOKUP($A29,PaidDump,P$8+2,FALSE))</f>
        <v>112</v>
      </c>
      <c r="Q29" s="66">
        <f t="shared" si="13"/>
        <v>166</v>
      </c>
      <c r="R29" s="66">
        <f t="shared" si="13"/>
        <v>152</v>
      </c>
      <c r="S29" s="66">
        <f t="shared" si="13"/>
        <v>0</v>
      </c>
      <c r="T29" s="66">
        <f t="shared" si="13"/>
        <v>282</v>
      </c>
      <c r="U29" s="66">
        <f t="shared" si="13"/>
        <v>75</v>
      </c>
      <c r="V29" s="66">
        <f t="shared" si="13"/>
        <v>0</v>
      </c>
      <c r="W29" s="66">
        <f t="shared" si="13"/>
        <v>0</v>
      </c>
      <c r="X29" s="66">
        <f t="shared" si="13"/>
        <v>492</v>
      </c>
      <c r="Y29" s="66">
        <f t="shared" si="13"/>
        <v>0</v>
      </c>
      <c r="Z29" s="66">
        <f aca="true" t="shared" si="14" ref="Z29:AI38">IF($A29="","",VLOOKUP($A29,PaidDump,Z$8+2,FALSE))</f>
        <v>0</v>
      </c>
      <c r="AA29" s="66">
        <f t="shared" si="14"/>
        <v>0</v>
      </c>
      <c r="AB29" s="66">
        <f t="shared" si="14"/>
        <v>0</v>
      </c>
      <c r="AC29" s="66">
        <f t="shared" si="14"/>
        <v>0</v>
      </c>
      <c r="AD29" s="66">
        <f t="shared" si="14"/>
        <v>0</v>
      </c>
      <c r="AE29" s="66">
        <f t="shared" si="14"/>
        <v>0</v>
      </c>
      <c r="AF29" s="66">
        <f t="shared" si="14"/>
        <v>0</v>
      </c>
      <c r="AG29" s="66">
        <f t="shared" si="14"/>
        <v>0</v>
      </c>
      <c r="AH29" s="66">
        <f t="shared" si="14"/>
        <v>0</v>
      </c>
      <c r="AI29" s="66">
        <f t="shared" si="14"/>
        <v>0</v>
      </c>
      <c r="AJ29" s="66">
        <f aca="true" t="shared" si="15" ref="AJ29:AO38">IF($A29="","",VLOOKUP($A29,PaidDump,AJ$8+2,FALSE))</f>
        <v>0</v>
      </c>
      <c r="AK29" s="66">
        <f t="shared" si="15"/>
        <v>0</v>
      </c>
      <c r="AL29" s="66">
        <f t="shared" si="15"/>
        <v>0</v>
      </c>
      <c r="AM29" s="66">
        <f t="shared" si="15"/>
        <v>0</v>
      </c>
      <c r="AN29" s="66">
        <f t="shared" si="15"/>
        <v>0</v>
      </c>
      <c r="AO29" s="66">
        <f t="shared" si="15"/>
        <v>0</v>
      </c>
    </row>
    <row r="30" spans="1:41" ht="12.75">
      <c r="A30" s="32">
        <f t="shared" si="7"/>
        <v>36647</v>
      </c>
      <c r="B30" s="36">
        <f>IF($A30="","",IF(VLOOKUP($A30,TrendFacDump,2,FALSE)=0,0,VLOOKUP(EOMONTH(ValDat,-1)+1,TrendFacDump,2,FALSE)/VLOOKUP($A30,TrendFacDump,2,FALSE)))</f>
        <v>1.0703200256876806</v>
      </c>
      <c r="C30" s="50">
        <f t="shared" si="1"/>
        <v>3053.259</v>
      </c>
      <c r="D30" s="66">
        <f t="shared" si="2"/>
        <v>194291</v>
      </c>
      <c r="E30" s="67">
        <f>IF($A30="","",E29+F30+G29+H28+I27+J26+K25+L24+M23+N22+O21+P20+Q19+R18+S17+T16+U15+V14+W13+X12+Y11+Z10+AA9)</f>
        <v>3893254</v>
      </c>
      <c r="F30" s="66">
        <f t="shared" si="12"/>
        <v>33042</v>
      </c>
      <c r="G30" s="66">
        <f t="shared" si="12"/>
        <v>115076</v>
      </c>
      <c r="H30" s="66">
        <f t="shared" si="12"/>
        <v>22022</v>
      </c>
      <c r="I30" s="66">
        <f t="shared" si="12"/>
        <v>7991</v>
      </c>
      <c r="J30" s="66">
        <f t="shared" si="12"/>
        <v>8209</v>
      </c>
      <c r="K30" s="66">
        <f t="shared" si="12"/>
        <v>-471</v>
      </c>
      <c r="L30" s="66">
        <f t="shared" si="12"/>
        <v>4997</v>
      </c>
      <c r="M30" s="66">
        <f t="shared" si="12"/>
        <v>430</v>
      </c>
      <c r="N30" s="66">
        <f t="shared" si="12"/>
        <v>116</v>
      </c>
      <c r="O30" s="66">
        <f t="shared" si="12"/>
        <v>1712</v>
      </c>
      <c r="P30" s="66">
        <f t="shared" si="13"/>
        <v>166</v>
      </c>
      <c r="Q30" s="66">
        <f t="shared" si="13"/>
        <v>0</v>
      </c>
      <c r="R30" s="66">
        <f t="shared" si="13"/>
        <v>152</v>
      </c>
      <c r="S30" s="66">
        <f t="shared" si="13"/>
        <v>0</v>
      </c>
      <c r="T30" s="66">
        <f t="shared" si="13"/>
        <v>282</v>
      </c>
      <c r="U30" s="66">
        <f t="shared" si="13"/>
        <v>75</v>
      </c>
      <c r="V30" s="66">
        <f t="shared" si="13"/>
        <v>0</v>
      </c>
      <c r="W30" s="66">
        <f t="shared" si="13"/>
        <v>492</v>
      </c>
      <c r="X30" s="66">
        <f t="shared" si="13"/>
        <v>0</v>
      </c>
      <c r="Y30" s="66">
        <f t="shared" si="13"/>
        <v>0</v>
      </c>
      <c r="Z30" s="66">
        <f t="shared" si="14"/>
        <v>0</v>
      </c>
      <c r="AA30" s="66">
        <f t="shared" si="14"/>
        <v>0</v>
      </c>
      <c r="AB30" s="66">
        <f t="shared" si="14"/>
        <v>0</v>
      </c>
      <c r="AC30" s="66">
        <f t="shared" si="14"/>
        <v>0</v>
      </c>
      <c r="AD30" s="66">
        <f t="shared" si="14"/>
        <v>0</v>
      </c>
      <c r="AE30" s="66">
        <f t="shared" si="14"/>
        <v>0</v>
      </c>
      <c r="AF30" s="66">
        <f t="shared" si="14"/>
        <v>0</v>
      </c>
      <c r="AG30" s="66">
        <f t="shared" si="14"/>
        <v>0</v>
      </c>
      <c r="AH30" s="66">
        <f t="shared" si="14"/>
        <v>0</v>
      </c>
      <c r="AI30" s="66">
        <f t="shared" si="14"/>
        <v>0</v>
      </c>
      <c r="AJ30" s="66">
        <f t="shared" si="15"/>
        <v>0</v>
      </c>
      <c r="AK30" s="66">
        <f t="shared" si="15"/>
        <v>0</v>
      </c>
      <c r="AL30" s="66">
        <f t="shared" si="15"/>
        <v>0</v>
      </c>
      <c r="AM30" s="66">
        <f t="shared" si="15"/>
        <v>0</v>
      </c>
      <c r="AN30" s="66">
        <f t="shared" si="15"/>
        <v>0</v>
      </c>
      <c r="AO30" s="66">
        <f t="shared" si="15"/>
        <v>0</v>
      </c>
    </row>
    <row r="31" spans="1:41" ht="12.75">
      <c r="A31" s="32">
        <f t="shared" si="7"/>
        <v>36678</v>
      </c>
      <c r="B31" s="36">
        <f>IF($A31="","",IF(VLOOKUP($A31,TrendFacDump,2,FALSE)=0,0,VLOOKUP(EOMONTH(ValDat,-1)+1,TrendFacDump,2,FALSE)/VLOOKUP($A31,TrendFacDump,2,FALSE)))</f>
        <v>1.0651896037494675</v>
      </c>
      <c r="C31" s="50">
        <f t="shared" si="1"/>
        <v>3019.494</v>
      </c>
      <c r="D31" s="66">
        <f t="shared" si="2"/>
        <v>295608</v>
      </c>
      <c r="E31" s="67">
        <f>IF($A31="","",E30+F31+G30+H29+I28+J27+K26+L25+M24+N23+O22+P21+Q20+R19+S18+T17+U16+V15+W14+X13+Y12+Z11+AA10+AB9)</f>
        <v>4132304</v>
      </c>
      <c r="F31" s="66">
        <f t="shared" si="12"/>
        <v>9146</v>
      </c>
      <c r="G31" s="66">
        <f t="shared" si="12"/>
        <v>126060</v>
      </c>
      <c r="H31" s="66">
        <f t="shared" si="12"/>
        <v>101785</v>
      </c>
      <c r="I31" s="66">
        <f t="shared" si="12"/>
        <v>23437</v>
      </c>
      <c r="J31" s="66">
        <f t="shared" si="12"/>
        <v>14176</v>
      </c>
      <c r="K31" s="66">
        <f t="shared" si="12"/>
        <v>11759</v>
      </c>
      <c r="L31" s="66">
        <f t="shared" si="12"/>
        <v>7297</v>
      </c>
      <c r="M31" s="66">
        <f t="shared" si="12"/>
        <v>472</v>
      </c>
      <c r="N31" s="66">
        <f t="shared" si="12"/>
        <v>32</v>
      </c>
      <c r="O31" s="66">
        <f t="shared" si="12"/>
        <v>239</v>
      </c>
      <c r="P31" s="66">
        <f t="shared" si="13"/>
        <v>124</v>
      </c>
      <c r="Q31" s="66">
        <f t="shared" si="13"/>
        <v>0</v>
      </c>
      <c r="R31" s="66">
        <f t="shared" si="13"/>
        <v>7</v>
      </c>
      <c r="S31" s="66">
        <f t="shared" si="13"/>
        <v>460</v>
      </c>
      <c r="T31" s="66">
        <f t="shared" si="13"/>
        <v>176</v>
      </c>
      <c r="U31" s="66">
        <f t="shared" si="13"/>
        <v>128</v>
      </c>
      <c r="V31" s="66">
        <f t="shared" si="13"/>
        <v>10</v>
      </c>
      <c r="W31" s="66">
        <f t="shared" si="13"/>
        <v>0</v>
      </c>
      <c r="X31" s="66">
        <f t="shared" si="13"/>
        <v>0</v>
      </c>
      <c r="Y31" s="66">
        <f t="shared" si="13"/>
        <v>0</v>
      </c>
      <c r="Z31" s="66">
        <f t="shared" si="14"/>
        <v>300</v>
      </c>
      <c r="AA31" s="66">
        <f t="shared" si="14"/>
        <v>0</v>
      </c>
      <c r="AB31" s="66">
        <f t="shared" si="14"/>
        <v>0</v>
      </c>
      <c r="AC31" s="66">
        <f t="shared" si="14"/>
        <v>0</v>
      </c>
      <c r="AD31" s="66">
        <f t="shared" si="14"/>
        <v>0</v>
      </c>
      <c r="AE31" s="66">
        <f t="shared" si="14"/>
        <v>0</v>
      </c>
      <c r="AF31" s="66">
        <f t="shared" si="14"/>
        <v>0</v>
      </c>
      <c r="AG31" s="66">
        <f t="shared" si="14"/>
        <v>0</v>
      </c>
      <c r="AH31" s="66">
        <f t="shared" si="14"/>
        <v>0</v>
      </c>
      <c r="AI31" s="66">
        <f t="shared" si="14"/>
        <v>0</v>
      </c>
      <c r="AJ31" s="66">
        <f t="shared" si="15"/>
        <v>0</v>
      </c>
      <c r="AK31" s="66">
        <f t="shared" si="15"/>
        <v>0</v>
      </c>
      <c r="AL31" s="66">
        <f t="shared" si="15"/>
        <v>0</v>
      </c>
      <c r="AM31" s="66">
        <f t="shared" si="15"/>
        <v>0</v>
      </c>
      <c r="AN31" s="66">
        <f t="shared" si="15"/>
        <v>0</v>
      </c>
      <c r="AO31" s="66">
        <f t="shared" si="15"/>
        <v>0</v>
      </c>
    </row>
    <row r="32" spans="1:41" ht="12.75">
      <c r="A32" s="32">
        <f t="shared" si="7"/>
        <v>36708</v>
      </c>
      <c r="B32" s="36">
        <f>IF($A32="","",IF(VLOOKUP($A32,TrendFacDump,2,FALSE)=0,0,VLOOKUP(EOMONTH(ValDat,-1)+1,TrendFacDump,2,FALSE)/VLOOKUP($A32,TrendFacDump,2,FALSE)))</f>
        <v>1.0599957600169598</v>
      </c>
      <c r="C32" s="50">
        <f t="shared" si="1"/>
        <v>3006.066</v>
      </c>
      <c r="D32" s="66">
        <f t="shared" si="2"/>
        <v>295608</v>
      </c>
      <c r="E32" s="67">
        <f>IF($A32="","",E31+F32+G31+H30+I29+J28+K27+L26+M25+N24+O23+P22+Q21+R20+S19+T18+U17+V16+W15+X14+Y13+Z12+AA11+AB10+AC9)</f>
        <v>4408543</v>
      </c>
      <c r="F32" s="66">
        <f t="shared" si="12"/>
        <v>95821</v>
      </c>
      <c r="G32" s="66">
        <f t="shared" si="12"/>
        <v>139851</v>
      </c>
      <c r="H32" s="66">
        <f t="shared" si="12"/>
        <v>32541</v>
      </c>
      <c r="I32" s="66">
        <f t="shared" si="12"/>
        <v>7864</v>
      </c>
      <c r="J32" s="66">
        <f t="shared" si="12"/>
        <v>8316</v>
      </c>
      <c r="K32" s="66">
        <f t="shared" si="12"/>
        <v>2179</v>
      </c>
      <c r="L32" s="66">
        <f t="shared" si="12"/>
        <v>7260</v>
      </c>
      <c r="M32" s="66">
        <f t="shared" si="12"/>
        <v>300</v>
      </c>
      <c r="N32" s="66">
        <f t="shared" si="12"/>
        <v>32</v>
      </c>
      <c r="O32" s="66">
        <f t="shared" si="12"/>
        <v>239</v>
      </c>
      <c r="P32" s="66">
        <f t="shared" si="13"/>
        <v>124</v>
      </c>
      <c r="Q32" s="66">
        <f t="shared" si="13"/>
        <v>211</v>
      </c>
      <c r="R32" s="66">
        <f t="shared" si="13"/>
        <v>-204</v>
      </c>
      <c r="S32" s="66">
        <f t="shared" si="13"/>
        <v>460</v>
      </c>
      <c r="T32" s="66">
        <f t="shared" si="13"/>
        <v>176</v>
      </c>
      <c r="U32" s="66">
        <f t="shared" si="13"/>
        <v>128</v>
      </c>
      <c r="V32" s="66">
        <f t="shared" si="13"/>
        <v>10</v>
      </c>
      <c r="W32" s="66">
        <f t="shared" si="13"/>
        <v>0</v>
      </c>
      <c r="X32" s="66">
        <f t="shared" si="13"/>
        <v>0</v>
      </c>
      <c r="Y32" s="66">
        <f t="shared" si="13"/>
        <v>0</v>
      </c>
      <c r="Z32" s="66">
        <f t="shared" si="14"/>
        <v>300</v>
      </c>
      <c r="AA32" s="66">
        <f t="shared" si="14"/>
        <v>0</v>
      </c>
      <c r="AB32" s="66">
        <f t="shared" si="14"/>
        <v>0</v>
      </c>
      <c r="AC32" s="66">
        <f t="shared" si="14"/>
        <v>0</v>
      </c>
      <c r="AD32" s="66">
        <f t="shared" si="14"/>
        <v>0</v>
      </c>
      <c r="AE32" s="66">
        <f t="shared" si="14"/>
        <v>0</v>
      </c>
      <c r="AF32" s="66">
        <f t="shared" si="14"/>
        <v>0</v>
      </c>
      <c r="AG32" s="66">
        <f t="shared" si="14"/>
        <v>0</v>
      </c>
      <c r="AH32" s="66">
        <f t="shared" si="14"/>
        <v>0</v>
      </c>
      <c r="AI32" s="66">
        <f t="shared" si="14"/>
        <v>0</v>
      </c>
      <c r="AJ32" s="66">
        <f t="shared" si="15"/>
        <v>0</v>
      </c>
      <c r="AK32" s="66">
        <f t="shared" si="15"/>
        <v>0</v>
      </c>
      <c r="AL32" s="66">
        <f t="shared" si="15"/>
        <v>0</v>
      </c>
      <c r="AM32" s="66">
        <f t="shared" si="15"/>
        <v>0</v>
      </c>
      <c r="AN32" s="66">
        <f t="shared" si="15"/>
        <v>0</v>
      </c>
      <c r="AO32" s="66">
        <f t="shared" si="15"/>
        <v>0</v>
      </c>
    </row>
    <row r="33" spans="1:41" ht="12.75">
      <c r="A33" s="32">
        <f t="shared" si="7"/>
        <v>36739</v>
      </c>
      <c r="B33" s="36">
        <f>IF($A33="","",IF(VLOOKUP($A33,TrendFacDump,2,FALSE)=0,0,VLOOKUP(EOMONTH(ValDat,-1)+1,TrendFacDump,2,FALSE)/VLOOKUP($A33,TrendFacDump,2,FALSE)))</f>
        <v>1.0548523206751055</v>
      </c>
      <c r="C33" s="50">
        <f t="shared" si="1"/>
        <v>2987.363</v>
      </c>
      <c r="D33" s="66">
        <f t="shared" si="2"/>
        <v>230602</v>
      </c>
      <c r="E33" s="67">
        <f>IF($A33="","",E32+F33+G32+H31+I30+J29+K28+L27+M26+N25+O24+P23+Q22+R21+S20+T19+U18+V17+W16+X15+Y14+Z13+AA12+AB11+AC10+AD9)</f>
        <v>4712445</v>
      </c>
      <c r="F33" s="66">
        <f t="shared" si="12"/>
        <v>9415</v>
      </c>
      <c r="G33" s="66">
        <f t="shared" si="12"/>
        <v>48503</v>
      </c>
      <c r="H33" s="66">
        <f t="shared" si="12"/>
        <v>127444</v>
      </c>
      <c r="I33" s="66">
        <f t="shared" si="12"/>
        <v>9062</v>
      </c>
      <c r="J33" s="66">
        <f t="shared" si="12"/>
        <v>2904</v>
      </c>
      <c r="K33" s="66">
        <f t="shared" si="12"/>
        <v>14411</v>
      </c>
      <c r="L33" s="66">
        <f t="shared" si="12"/>
        <v>14223</v>
      </c>
      <c r="M33" s="66">
        <f t="shared" si="12"/>
        <v>-3390</v>
      </c>
      <c r="N33" s="66">
        <f t="shared" si="12"/>
        <v>662</v>
      </c>
      <c r="O33" s="66">
        <f t="shared" si="12"/>
        <v>6212</v>
      </c>
      <c r="P33" s="66">
        <f t="shared" si="13"/>
        <v>33</v>
      </c>
      <c r="Q33" s="66">
        <f t="shared" si="13"/>
        <v>0</v>
      </c>
      <c r="R33" s="66">
        <f t="shared" si="13"/>
        <v>0</v>
      </c>
      <c r="S33" s="66">
        <f t="shared" si="13"/>
        <v>90</v>
      </c>
      <c r="T33" s="66">
        <f t="shared" si="13"/>
        <v>0</v>
      </c>
      <c r="U33" s="66">
        <f t="shared" si="13"/>
        <v>0</v>
      </c>
      <c r="V33" s="66">
        <f t="shared" si="13"/>
        <v>230</v>
      </c>
      <c r="W33" s="66">
        <f t="shared" si="13"/>
        <v>0</v>
      </c>
      <c r="X33" s="66">
        <f t="shared" si="13"/>
        <v>0</v>
      </c>
      <c r="Y33" s="66">
        <f t="shared" si="13"/>
        <v>0</v>
      </c>
      <c r="Z33" s="66">
        <f t="shared" si="14"/>
        <v>803</v>
      </c>
      <c r="AA33" s="66">
        <f t="shared" si="14"/>
        <v>0</v>
      </c>
      <c r="AB33" s="66">
        <f t="shared" si="14"/>
        <v>0</v>
      </c>
      <c r="AC33" s="66">
        <f t="shared" si="14"/>
        <v>0</v>
      </c>
      <c r="AD33" s="66">
        <f t="shared" si="14"/>
        <v>0</v>
      </c>
      <c r="AE33" s="66">
        <f t="shared" si="14"/>
        <v>0</v>
      </c>
      <c r="AF33" s="66">
        <f t="shared" si="14"/>
        <v>0</v>
      </c>
      <c r="AG33" s="66">
        <f t="shared" si="14"/>
        <v>0</v>
      </c>
      <c r="AH33" s="66">
        <f t="shared" si="14"/>
        <v>0</v>
      </c>
      <c r="AI33" s="66">
        <f t="shared" si="14"/>
        <v>0</v>
      </c>
      <c r="AJ33" s="66">
        <f t="shared" si="15"/>
        <v>0</v>
      </c>
      <c r="AK33" s="66">
        <f t="shared" si="15"/>
        <v>0</v>
      </c>
      <c r="AL33" s="66">
        <f t="shared" si="15"/>
        <v>0</v>
      </c>
      <c r="AM33" s="66">
        <f t="shared" si="15"/>
        <v>0</v>
      </c>
      <c r="AN33" s="66">
        <f t="shared" si="15"/>
        <v>0</v>
      </c>
      <c r="AO33" s="66">
        <f t="shared" si="15"/>
        <v>0</v>
      </c>
    </row>
    <row r="34" spans="1:41" ht="12.75">
      <c r="A34" s="32">
        <f t="shared" si="7"/>
        <v>36770</v>
      </c>
      <c r="B34" s="36">
        <f>IF($A34="","",IF(VLOOKUP($A34,TrendFacDump,2,FALSE)=0,0,VLOOKUP(EOMONTH(ValDat,-1)+1,TrendFacDump,2,FALSE)/VLOOKUP($A34,TrendFacDump,2,FALSE)))</f>
        <v>1.0497585555322275</v>
      </c>
      <c r="C34" s="50">
        <f t="shared" si="1"/>
        <v>2953.335</v>
      </c>
      <c r="D34" s="66">
        <f t="shared" si="2"/>
        <v>230602</v>
      </c>
      <c r="E34" s="67">
        <f>IF($A34="","",E33+F34+G33+H32+I31+J30+K29+L28+M27+N26+O25+P24+Q23+R22+S21+T20+U19+V18+W17+X16+Y15+Z14+AA13+AB12+AC11+AD10+AE9)</f>
        <v>4887620</v>
      </c>
      <c r="F34" s="66">
        <f t="shared" si="12"/>
        <v>31473</v>
      </c>
      <c r="G34" s="66">
        <f t="shared" si="12"/>
        <v>178666</v>
      </c>
      <c r="H34" s="66">
        <f t="shared" si="12"/>
        <v>9928</v>
      </c>
      <c r="I34" s="66">
        <f t="shared" si="12"/>
        <v>-5630</v>
      </c>
      <c r="J34" s="66">
        <f t="shared" si="12"/>
        <v>1840</v>
      </c>
      <c r="K34" s="66">
        <f t="shared" si="12"/>
        <v>934</v>
      </c>
      <c r="L34" s="66">
        <f t="shared" si="12"/>
        <v>13701</v>
      </c>
      <c r="M34" s="66">
        <f t="shared" si="12"/>
        <v>-3004</v>
      </c>
      <c r="N34" s="66">
        <f t="shared" si="12"/>
        <v>306</v>
      </c>
      <c r="O34" s="66">
        <f t="shared" si="12"/>
        <v>1265</v>
      </c>
      <c r="P34" s="66">
        <f t="shared" si="13"/>
        <v>0</v>
      </c>
      <c r="Q34" s="66">
        <f t="shared" si="13"/>
        <v>0</v>
      </c>
      <c r="R34" s="66">
        <f t="shared" si="13"/>
        <v>0</v>
      </c>
      <c r="S34" s="66">
        <f t="shared" si="13"/>
        <v>90</v>
      </c>
      <c r="T34" s="66">
        <f t="shared" si="13"/>
        <v>0</v>
      </c>
      <c r="U34" s="66">
        <f t="shared" si="13"/>
        <v>0</v>
      </c>
      <c r="V34" s="66">
        <f t="shared" si="13"/>
        <v>230</v>
      </c>
      <c r="W34" s="66">
        <f t="shared" si="13"/>
        <v>0</v>
      </c>
      <c r="X34" s="66">
        <f t="shared" si="13"/>
        <v>0</v>
      </c>
      <c r="Y34" s="66">
        <f t="shared" si="13"/>
        <v>0</v>
      </c>
      <c r="Z34" s="66">
        <f t="shared" si="14"/>
        <v>803</v>
      </c>
      <c r="AA34" s="66">
        <f t="shared" si="14"/>
        <v>0</v>
      </c>
      <c r="AB34" s="66">
        <f t="shared" si="14"/>
        <v>0</v>
      </c>
      <c r="AC34" s="66">
        <f t="shared" si="14"/>
        <v>0</v>
      </c>
      <c r="AD34" s="66">
        <f t="shared" si="14"/>
        <v>0</v>
      </c>
      <c r="AE34" s="66">
        <f t="shared" si="14"/>
        <v>0</v>
      </c>
      <c r="AF34" s="66">
        <f t="shared" si="14"/>
        <v>0</v>
      </c>
      <c r="AG34" s="66">
        <f t="shared" si="14"/>
        <v>0</v>
      </c>
      <c r="AH34" s="66">
        <f t="shared" si="14"/>
        <v>0</v>
      </c>
      <c r="AI34" s="66">
        <f t="shared" si="14"/>
        <v>0</v>
      </c>
      <c r="AJ34" s="66">
        <f t="shared" si="15"/>
        <v>0</v>
      </c>
      <c r="AK34" s="66">
        <f t="shared" si="15"/>
        <v>0</v>
      </c>
      <c r="AL34" s="66">
        <f t="shared" si="15"/>
        <v>0</v>
      </c>
      <c r="AM34" s="66">
        <f t="shared" si="15"/>
        <v>0</v>
      </c>
      <c r="AN34" s="66">
        <f t="shared" si="15"/>
        <v>0</v>
      </c>
      <c r="AO34" s="66">
        <f t="shared" si="15"/>
        <v>0</v>
      </c>
    </row>
    <row r="35" spans="1:41" ht="12.75">
      <c r="A35" s="32">
        <f t="shared" si="7"/>
        <v>36800</v>
      </c>
      <c r="B35" s="36">
        <f>IF($A35="","",IF(VLOOKUP($A35,TrendFacDump,2,FALSE)=0,0,VLOOKUP(EOMONTH(ValDat,-1)+1,TrendFacDump,2,FALSE)/VLOOKUP($A35,TrendFacDump,2,FALSE)))</f>
        <v>1.0447137484329294</v>
      </c>
      <c r="C35" s="50">
        <f t="shared" si="1"/>
        <v>2927.266</v>
      </c>
      <c r="D35" s="66">
        <f t="shared" si="2"/>
        <v>186976</v>
      </c>
      <c r="E35" s="67">
        <f>IF($A35="","",E34+F35+G34+H33+I32+J31+K30+L29+M28+N27+O26+P25+Q24+R23+S22+T21+U20+V19+W18+X17+Y16+Z15+AA14+AB13+AC12+AD11+AE10+AF9)</f>
        <v>5228248</v>
      </c>
      <c r="F35" s="66">
        <f t="shared" si="12"/>
        <v>4419</v>
      </c>
      <c r="G35" s="66">
        <f t="shared" si="12"/>
        <v>34068</v>
      </c>
      <c r="H35" s="66">
        <f t="shared" si="12"/>
        <v>91527</v>
      </c>
      <c r="I35" s="66">
        <f t="shared" si="12"/>
        <v>34631</v>
      </c>
      <c r="J35" s="66">
        <f t="shared" si="12"/>
        <v>9161</v>
      </c>
      <c r="K35" s="66">
        <f t="shared" si="12"/>
        <v>5596</v>
      </c>
      <c r="L35" s="66">
        <f t="shared" si="12"/>
        <v>4375</v>
      </c>
      <c r="M35" s="66">
        <f t="shared" si="12"/>
        <v>412</v>
      </c>
      <c r="N35" s="66">
        <f t="shared" si="12"/>
        <v>1128</v>
      </c>
      <c r="O35" s="66">
        <f t="shared" si="12"/>
        <v>1357</v>
      </c>
      <c r="P35" s="66">
        <f t="shared" si="13"/>
        <v>291</v>
      </c>
      <c r="Q35" s="66">
        <f t="shared" si="13"/>
        <v>11</v>
      </c>
      <c r="R35" s="66">
        <f t="shared" si="13"/>
        <v>0</v>
      </c>
      <c r="S35" s="66">
        <f t="shared" si="13"/>
        <v>0</v>
      </c>
      <c r="T35" s="66">
        <f t="shared" si="13"/>
        <v>0</v>
      </c>
      <c r="U35" s="66">
        <f t="shared" si="13"/>
        <v>0</v>
      </c>
      <c r="V35" s="66">
        <f t="shared" si="13"/>
        <v>0</v>
      </c>
      <c r="W35" s="66">
        <f t="shared" si="13"/>
        <v>0</v>
      </c>
      <c r="X35" s="66">
        <f t="shared" si="13"/>
        <v>0</v>
      </c>
      <c r="Y35" s="66">
        <f t="shared" si="13"/>
        <v>0</v>
      </c>
      <c r="Z35" s="66">
        <f t="shared" si="14"/>
        <v>0</v>
      </c>
      <c r="AA35" s="66">
        <f t="shared" si="14"/>
        <v>0</v>
      </c>
      <c r="AB35" s="66">
        <f t="shared" si="14"/>
        <v>0</v>
      </c>
      <c r="AC35" s="66">
        <f t="shared" si="14"/>
        <v>0</v>
      </c>
      <c r="AD35" s="66">
        <f t="shared" si="14"/>
        <v>0</v>
      </c>
      <c r="AE35" s="66">
        <f t="shared" si="14"/>
        <v>0</v>
      </c>
      <c r="AF35" s="66">
        <f t="shared" si="14"/>
        <v>0</v>
      </c>
      <c r="AG35" s="66">
        <f t="shared" si="14"/>
        <v>0</v>
      </c>
      <c r="AH35" s="66">
        <f t="shared" si="14"/>
        <v>0</v>
      </c>
      <c r="AI35" s="66">
        <f t="shared" si="14"/>
        <v>0</v>
      </c>
      <c r="AJ35" s="66">
        <f t="shared" si="15"/>
        <v>0</v>
      </c>
      <c r="AK35" s="66">
        <f t="shared" si="15"/>
        <v>0</v>
      </c>
      <c r="AL35" s="66">
        <f t="shared" si="15"/>
        <v>0</v>
      </c>
      <c r="AM35" s="66">
        <f t="shared" si="15"/>
        <v>0</v>
      </c>
      <c r="AN35" s="66">
        <f t="shared" si="15"/>
        <v>0</v>
      </c>
      <c r="AO35" s="66">
        <f t="shared" si="15"/>
        <v>0</v>
      </c>
    </row>
    <row r="36" spans="1:41" ht="12.75">
      <c r="A36" s="32">
        <f t="shared" si="7"/>
        <v>36831</v>
      </c>
      <c r="B36" s="36">
        <f>IF($A36="","",IF(VLOOKUP($A36,TrendFacDump,2,FALSE)=0,0,VLOOKUP(EOMONTH(ValDat,-1)+1,TrendFacDump,2,FALSE)/VLOOKUP($A36,TrendFacDump,2,FALSE)))</f>
        <v>1.0396091069757771</v>
      </c>
      <c r="C36" s="50">
        <f t="shared" si="1"/>
        <v>2897.225</v>
      </c>
      <c r="D36" s="66">
        <f t="shared" si="2"/>
        <v>186976</v>
      </c>
      <c r="E36" s="67">
        <f>IF($A36="","",E35+F36+G35+H34+I33+J32+K31+L30+M29+N28+O27+P26+Q25+R24+S23+T22+U21+V20+W19+X18+Y17+Z16+AA15+AB14+AC13+AD12+AE11+AF10+AG9)</f>
        <v>5340093</v>
      </c>
      <c r="F36" s="66">
        <f t="shared" si="12"/>
        <v>31361</v>
      </c>
      <c r="G36" s="66">
        <f t="shared" si="12"/>
        <v>76026</v>
      </c>
      <c r="H36" s="66">
        <f t="shared" si="12"/>
        <v>56350</v>
      </c>
      <c r="I36" s="66">
        <f t="shared" si="12"/>
        <v>6484</v>
      </c>
      <c r="J36" s="66">
        <f t="shared" si="12"/>
        <v>7803</v>
      </c>
      <c r="K36" s="66">
        <f t="shared" si="12"/>
        <v>5412</v>
      </c>
      <c r="L36" s="66">
        <f t="shared" si="12"/>
        <v>341</v>
      </c>
      <c r="M36" s="66">
        <f t="shared" si="12"/>
        <v>1097</v>
      </c>
      <c r="N36" s="66">
        <f t="shared" si="12"/>
        <v>517</v>
      </c>
      <c r="O36" s="66">
        <f t="shared" si="12"/>
        <v>1343</v>
      </c>
      <c r="P36" s="66">
        <f t="shared" si="13"/>
        <v>231</v>
      </c>
      <c r="Q36" s="66">
        <f t="shared" si="13"/>
        <v>11</v>
      </c>
      <c r="R36" s="66">
        <f t="shared" si="13"/>
        <v>0</v>
      </c>
      <c r="S36" s="66">
        <f t="shared" si="13"/>
        <v>0</v>
      </c>
      <c r="T36" s="66">
        <f t="shared" si="13"/>
        <v>0</v>
      </c>
      <c r="U36" s="66">
        <f t="shared" si="13"/>
        <v>0</v>
      </c>
      <c r="V36" s="66">
        <f t="shared" si="13"/>
        <v>0</v>
      </c>
      <c r="W36" s="66">
        <f t="shared" si="13"/>
        <v>0</v>
      </c>
      <c r="X36" s="66">
        <f t="shared" si="13"/>
        <v>0</v>
      </c>
      <c r="Y36" s="66">
        <f t="shared" si="13"/>
        <v>0</v>
      </c>
      <c r="Z36" s="66">
        <f t="shared" si="14"/>
        <v>0</v>
      </c>
      <c r="AA36" s="66">
        <f t="shared" si="14"/>
        <v>0</v>
      </c>
      <c r="AB36" s="66">
        <f t="shared" si="14"/>
        <v>0</v>
      </c>
      <c r="AC36" s="66">
        <f t="shared" si="14"/>
        <v>0</v>
      </c>
      <c r="AD36" s="66">
        <f t="shared" si="14"/>
        <v>0</v>
      </c>
      <c r="AE36" s="66">
        <f t="shared" si="14"/>
        <v>0</v>
      </c>
      <c r="AF36" s="66">
        <f t="shared" si="14"/>
        <v>0</v>
      </c>
      <c r="AG36" s="66">
        <f t="shared" si="14"/>
        <v>0</v>
      </c>
      <c r="AH36" s="66">
        <f t="shared" si="14"/>
        <v>0</v>
      </c>
      <c r="AI36" s="66">
        <f t="shared" si="14"/>
        <v>0</v>
      </c>
      <c r="AJ36" s="66">
        <f t="shared" si="15"/>
        <v>0</v>
      </c>
      <c r="AK36" s="66">
        <f t="shared" si="15"/>
        <v>0</v>
      </c>
      <c r="AL36" s="66">
        <f t="shared" si="15"/>
        <v>0</v>
      </c>
      <c r="AM36" s="66">
        <f t="shared" si="15"/>
        <v>0</v>
      </c>
      <c r="AN36" s="66">
        <f t="shared" si="15"/>
        <v>0</v>
      </c>
      <c r="AO36" s="66">
        <f t="shared" si="15"/>
        <v>0</v>
      </c>
    </row>
    <row r="37" spans="1:41" ht="12.75">
      <c r="A37" s="32">
        <f t="shared" si="7"/>
        <v>36861</v>
      </c>
      <c r="B37" s="36">
        <f>IF($A37="","",IF(VLOOKUP($A37,TrendFacDump,2,FALSE)=0,0,VLOOKUP(EOMONTH(ValDat,-1)+1,TrendFacDump,2,FALSE)/VLOOKUP($A37,TrendFacDump,2,FALSE)))</f>
        <v>1.0345541071798054</v>
      </c>
      <c r="C37" s="50">
        <f t="shared" si="1"/>
        <v>2887.18</v>
      </c>
      <c r="D37" s="66">
        <f t="shared" si="2"/>
        <v>146038</v>
      </c>
      <c r="E37" s="67">
        <f>IF($A37="","",E36+F37+G36+H35+I34+J33+K32+L31+M30+N29+O28+P27+Q26+R25+S24+T23+U22+V21+W20+X19+Y18+Z17+AA16+AB15+AC14+AD13+AE12+AF11+AG10+AH9)</f>
        <v>5518662</v>
      </c>
      <c r="F37" s="66">
        <f t="shared" si="12"/>
        <v>1804</v>
      </c>
      <c r="G37" s="66">
        <f t="shared" si="12"/>
        <v>66303</v>
      </c>
      <c r="H37" s="66">
        <f t="shared" si="12"/>
        <v>37667</v>
      </c>
      <c r="I37" s="66">
        <f t="shared" si="12"/>
        <v>17053</v>
      </c>
      <c r="J37" s="66">
        <f t="shared" si="12"/>
        <v>2170</v>
      </c>
      <c r="K37" s="66">
        <f t="shared" si="12"/>
        <v>13856</v>
      </c>
      <c r="L37" s="66">
        <f t="shared" si="12"/>
        <v>1103</v>
      </c>
      <c r="M37" s="66">
        <f t="shared" si="12"/>
        <v>1737</v>
      </c>
      <c r="N37" s="66">
        <f t="shared" si="12"/>
        <v>266</v>
      </c>
      <c r="O37" s="66">
        <f t="shared" si="12"/>
        <v>115</v>
      </c>
      <c r="P37" s="66">
        <f t="shared" si="13"/>
        <v>231</v>
      </c>
      <c r="Q37" s="66">
        <f t="shared" si="13"/>
        <v>271</v>
      </c>
      <c r="R37" s="66">
        <f t="shared" si="13"/>
        <v>2907</v>
      </c>
      <c r="S37" s="66">
        <f t="shared" si="13"/>
        <v>0</v>
      </c>
      <c r="T37" s="66">
        <f t="shared" si="13"/>
        <v>0</v>
      </c>
      <c r="U37" s="66">
        <f t="shared" si="13"/>
        <v>0</v>
      </c>
      <c r="V37" s="66">
        <f t="shared" si="13"/>
        <v>130</v>
      </c>
      <c r="W37" s="66">
        <f t="shared" si="13"/>
        <v>0</v>
      </c>
      <c r="X37" s="66">
        <f t="shared" si="13"/>
        <v>0</v>
      </c>
      <c r="Y37" s="66">
        <f t="shared" si="13"/>
        <v>0</v>
      </c>
      <c r="Z37" s="66">
        <f t="shared" si="14"/>
        <v>0</v>
      </c>
      <c r="AA37" s="66">
        <f t="shared" si="14"/>
        <v>0</v>
      </c>
      <c r="AB37" s="66">
        <f t="shared" si="14"/>
        <v>0</v>
      </c>
      <c r="AC37" s="66">
        <f t="shared" si="14"/>
        <v>96</v>
      </c>
      <c r="AD37" s="66">
        <f t="shared" si="14"/>
        <v>0</v>
      </c>
      <c r="AE37" s="66">
        <f t="shared" si="14"/>
        <v>329</v>
      </c>
      <c r="AF37" s="66">
        <f t="shared" si="14"/>
        <v>0</v>
      </c>
      <c r="AG37" s="66">
        <f t="shared" si="14"/>
        <v>0</v>
      </c>
      <c r="AH37" s="66">
        <f t="shared" si="14"/>
        <v>0</v>
      </c>
      <c r="AI37" s="66">
        <f t="shared" si="14"/>
        <v>0</v>
      </c>
      <c r="AJ37" s="66">
        <f t="shared" si="15"/>
        <v>0</v>
      </c>
      <c r="AK37" s="66">
        <f t="shared" si="15"/>
        <v>0</v>
      </c>
      <c r="AL37" s="66">
        <f t="shared" si="15"/>
        <v>0</v>
      </c>
      <c r="AM37" s="66">
        <f t="shared" si="15"/>
        <v>0</v>
      </c>
      <c r="AN37" s="66">
        <f t="shared" si="15"/>
        <v>0</v>
      </c>
      <c r="AO37" s="66">
        <f t="shared" si="15"/>
        <v>0</v>
      </c>
    </row>
    <row r="38" spans="1:41" ht="12.75">
      <c r="A38" s="32">
        <f t="shared" si="7"/>
        <v>36892</v>
      </c>
      <c r="B38" s="36">
        <f>IF($A38="","",IF(VLOOKUP($A38,TrendFacDump,2,FALSE)=0,0,VLOOKUP(EOMONTH(ValDat,-1)+1,TrendFacDump,2,FALSE)/VLOOKUP($A38,TrendFacDump,2,FALSE)))</f>
        <v>1.0295480284155256</v>
      </c>
      <c r="C38" s="50">
        <f t="shared" si="1"/>
        <v>2887.803</v>
      </c>
      <c r="D38" s="66">
        <f t="shared" si="2"/>
        <v>146038</v>
      </c>
      <c r="E38" s="67">
        <f>IF($A38="","",E37+F38+G37+H36+I35+J34+K33+L32+M31+N30+O29+P28+Q27+R26+S25+T24+U23+V22+W21+X20+Y19+Z18+AA17+AB16+AC15+AD14+AE13+AF12+AG11+AH10+AI9)</f>
        <v>5728402</v>
      </c>
      <c r="F38" s="66">
        <f t="shared" si="12"/>
        <v>19993</v>
      </c>
      <c r="G38" s="66">
        <f t="shared" si="12"/>
        <v>59964</v>
      </c>
      <c r="H38" s="66">
        <f t="shared" si="12"/>
        <v>35539</v>
      </c>
      <c r="I38" s="66">
        <f t="shared" si="12"/>
        <v>9556</v>
      </c>
      <c r="J38" s="66">
        <f t="shared" si="12"/>
        <v>13627</v>
      </c>
      <c r="K38" s="66">
        <f t="shared" si="12"/>
        <v>342</v>
      </c>
      <c r="L38" s="66">
        <f t="shared" si="12"/>
        <v>1024</v>
      </c>
      <c r="M38" s="66">
        <f t="shared" si="12"/>
        <v>1821</v>
      </c>
      <c r="N38" s="66">
        <f t="shared" si="12"/>
        <v>208</v>
      </c>
      <c r="O38" s="66">
        <f t="shared" si="12"/>
        <v>533</v>
      </c>
      <c r="P38" s="66">
        <f t="shared" si="13"/>
        <v>148</v>
      </c>
      <c r="Q38" s="66">
        <f t="shared" si="13"/>
        <v>392</v>
      </c>
      <c r="R38" s="66">
        <f t="shared" si="13"/>
        <v>2336</v>
      </c>
      <c r="S38" s="66">
        <f t="shared" si="13"/>
        <v>0</v>
      </c>
      <c r="T38" s="66">
        <f t="shared" si="13"/>
        <v>0</v>
      </c>
      <c r="U38" s="66">
        <f t="shared" si="13"/>
        <v>40</v>
      </c>
      <c r="V38" s="66">
        <f t="shared" si="13"/>
        <v>90</v>
      </c>
      <c r="W38" s="66">
        <f t="shared" si="13"/>
        <v>0</v>
      </c>
      <c r="X38" s="66">
        <f t="shared" si="13"/>
        <v>0</v>
      </c>
      <c r="Y38" s="66">
        <f t="shared" si="13"/>
        <v>0</v>
      </c>
      <c r="Z38" s="66">
        <f t="shared" si="14"/>
        <v>0</v>
      </c>
      <c r="AA38" s="66">
        <f t="shared" si="14"/>
        <v>0</v>
      </c>
      <c r="AB38" s="66">
        <f t="shared" si="14"/>
        <v>96</v>
      </c>
      <c r="AC38" s="66">
        <f t="shared" si="14"/>
        <v>0</v>
      </c>
      <c r="AD38" s="66">
        <f t="shared" si="14"/>
        <v>0</v>
      </c>
      <c r="AE38" s="66">
        <f t="shared" si="14"/>
        <v>329</v>
      </c>
      <c r="AF38" s="66">
        <f t="shared" si="14"/>
        <v>0</v>
      </c>
      <c r="AG38" s="66">
        <f t="shared" si="14"/>
        <v>0</v>
      </c>
      <c r="AH38" s="66">
        <f t="shared" si="14"/>
        <v>0</v>
      </c>
      <c r="AI38" s="66">
        <f t="shared" si="14"/>
        <v>0</v>
      </c>
      <c r="AJ38" s="66">
        <f t="shared" si="15"/>
        <v>0</v>
      </c>
      <c r="AK38" s="66">
        <f t="shared" si="15"/>
        <v>0</v>
      </c>
      <c r="AL38" s="66">
        <f t="shared" si="15"/>
        <v>0</v>
      </c>
      <c r="AM38" s="66">
        <f t="shared" si="15"/>
        <v>0</v>
      </c>
      <c r="AN38" s="66">
        <f t="shared" si="15"/>
        <v>0</v>
      </c>
      <c r="AO38" s="66">
        <f t="shared" si="15"/>
        <v>0</v>
      </c>
    </row>
    <row r="39" spans="1:41" ht="12.75">
      <c r="A39" s="32">
        <f t="shared" si="7"/>
        <v>36923</v>
      </c>
      <c r="B39" s="36">
        <f>IF($A39="","",IF(VLOOKUP($A39,TrendFacDump,2,FALSE)=0,0,VLOOKUP(EOMONTH(ValDat,-1)+1,TrendFacDump,2,FALSE)/VLOOKUP($A39,TrendFacDump,2,FALSE)))</f>
        <v>1.0245901639344261</v>
      </c>
      <c r="C39" s="50">
        <f t="shared" si="1"/>
        <v>2887.028</v>
      </c>
      <c r="D39" s="66">
        <f t="shared" si="2"/>
        <v>82703</v>
      </c>
      <c r="E39" s="67">
        <f>IF($A39="","",E38+F39+G38+H37+I36+J35+K34+L33+M32+N31+O30+P29+Q28+R27+S26+T25+U24+V23+W22+X21+Y20+Z19+AA18+AB17+AC16+AD15+AE14+AF13+AG12+AH11+AI10+AJ9)</f>
        <v>5887533</v>
      </c>
      <c r="F39" s="66">
        <f aca="true" t="shared" si="16" ref="F39:O44">IF($A39="","",VLOOKUP($A39,PaidDump,F$8+2,FALSE))</f>
        <v>240</v>
      </c>
      <c r="G39" s="66">
        <f t="shared" si="16"/>
        <v>15910</v>
      </c>
      <c r="H39" s="66">
        <f t="shared" si="16"/>
        <v>39608</v>
      </c>
      <c r="I39" s="66">
        <f t="shared" si="16"/>
        <v>6673</v>
      </c>
      <c r="J39" s="66">
        <f t="shared" si="16"/>
        <v>2288</v>
      </c>
      <c r="K39" s="66">
        <f t="shared" si="16"/>
        <v>4935</v>
      </c>
      <c r="L39" s="66">
        <f t="shared" si="16"/>
        <v>3876</v>
      </c>
      <c r="M39" s="66">
        <f t="shared" si="16"/>
        <v>239</v>
      </c>
      <c r="N39" s="66">
        <f t="shared" si="16"/>
        <v>985</v>
      </c>
      <c r="O39" s="66">
        <f t="shared" si="16"/>
        <v>304</v>
      </c>
      <c r="P39" s="66">
        <f aca="true" t="shared" si="17" ref="P39:Y44">IF($A39="","",VLOOKUP($A39,PaidDump,P$8+2,FALSE))</f>
        <v>5839</v>
      </c>
      <c r="Q39" s="66">
        <f t="shared" si="17"/>
        <v>52</v>
      </c>
      <c r="R39" s="66">
        <f t="shared" si="17"/>
        <v>101</v>
      </c>
      <c r="S39" s="66">
        <f t="shared" si="17"/>
        <v>1201</v>
      </c>
      <c r="T39" s="66">
        <f t="shared" si="17"/>
        <v>452</v>
      </c>
      <c r="U39" s="66">
        <f t="shared" si="17"/>
        <v>0</v>
      </c>
      <c r="V39" s="66">
        <f t="shared" si="17"/>
        <v>0</v>
      </c>
      <c r="W39" s="66">
        <f t="shared" si="17"/>
        <v>0</v>
      </c>
      <c r="X39" s="66">
        <f t="shared" si="17"/>
        <v>0</v>
      </c>
      <c r="Y39" s="66">
        <f t="shared" si="17"/>
        <v>0</v>
      </c>
      <c r="Z39" s="66">
        <f aca="true" t="shared" si="18" ref="Z39:AI44">IF($A39="","",VLOOKUP($A39,PaidDump,Z$8+2,FALSE))</f>
        <v>0</v>
      </c>
      <c r="AA39" s="66">
        <f t="shared" si="18"/>
        <v>0</v>
      </c>
      <c r="AB39" s="66">
        <f t="shared" si="18"/>
        <v>0</v>
      </c>
      <c r="AC39" s="66">
        <f t="shared" si="18"/>
        <v>0</v>
      </c>
      <c r="AD39" s="66">
        <f t="shared" si="18"/>
        <v>0</v>
      </c>
      <c r="AE39" s="66">
        <f t="shared" si="18"/>
        <v>0</v>
      </c>
      <c r="AF39" s="66">
        <f t="shared" si="18"/>
        <v>0</v>
      </c>
      <c r="AG39" s="66">
        <f t="shared" si="18"/>
        <v>0</v>
      </c>
      <c r="AH39" s="66">
        <f t="shared" si="18"/>
        <v>0</v>
      </c>
      <c r="AI39" s="66">
        <f t="shared" si="18"/>
        <v>0</v>
      </c>
      <c r="AJ39" s="66">
        <f aca="true" t="shared" si="19" ref="AJ39:AO44">IF($A39="","",VLOOKUP($A39,PaidDump,AJ$8+2,FALSE))</f>
        <v>0</v>
      </c>
      <c r="AK39" s="66">
        <f t="shared" si="19"/>
        <v>0</v>
      </c>
      <c r="AL39" s="66">
        <f t="shared" si="19"/>
        <v>0</v>
      </c>
      <c r="AM39" s="66">
        <f t="shared" si="19"/>
        <v>0</v>
      </c>
      <c r="AN39" s="66">
        <f t="shared" si="19"/>
        <v>0</v>
      </c>
      <c r="AO39" s="66">
        <f t="shared" si="19"/>
        <v>0</v>
      </c>
    </row>
    <row r="40" spans="1:41" ht="12.75">
      <c r="A40" s="32">
        <f t="shared" si="7"/>
        <v>36951</v>
      </c>
      <c r="B40" s="36">
        <f>IF($A40="","",IF(VLOOKUP($A40,TrendFacDump,2,FALSE)=0,0,VLOOKUP(EOMONTH(ValDat,-1)+1,TrendFacDump,2,FALSE)/VLOOKUP($A40,TrendFacDump,2,FALSE)))</f>
        <v>1.0195758564437194</v>
      </c>
      <c r="C40" s="50">
        <f t="shared" si="1"/>
        <v>2848.341</v>
      </c>
      <c r="D40" s="66">
        <f t="shared" si="2"/>
        <v>82703</v>
      </c>
      <c r="E40" s="67">
        <f>IF($A40="","",E39+F40+G39+H38+I37+J36+K35+L34+M33+N32+O31+P30+Q29+R28+S27+T26+U25+V24+W23+X22+Y21+Z20+AA19+AB18+AC17+AD16+AE15+AF14+AG13+AH12+AI11+AJ10+AK9)</f>
        <v>5990770</v>
      </c>
      <c r="F40" s="66">
        <f t="shared" si="16"/>
        <v>9046</v>
      </c>
      <c r="G40" s="66">
        <f t="shared" si="16"/>
        <v>43493</v>
      </c>
      <c r="H40" s="66">
        <f t="shared" si="16"/>
        <v>7571</v>
      </c>
      <c r="I40" s="66">
        <f t="shared" si="16"/>
        <v>5995</v>
      </c>
      <c r="J40" s="66">
        <f t="shared" si="16"/>
        <v>3715</v>
      </c>
      <c r="K40" s="66">
        <f t="shared" si="16"/>
        <v>3670</v>
      </c>
      <c r="L40" s="66">
        <f t="shared" si="16"/>
        <v>279</v>
      </c>
      <c r="M40" s="66">
        <f t="shared" si="16"/>
        <v>596</v>
      </c>
      <c r="N40" s="66">
        <f t="shared" si="16"/>
        <v>578</v>
      </c>
      <c r="O40" s="66">
        <f t="shared" si="16"/>
        <v>932</v>
      </c>
      <c r="P40" s="66">
        <f t="shared" si="17"/>
        <v>5022</v>
      </c>
      <c r="Q40" s="66">
        <f t="shared" si="17"/>
        <v>119</v>
      </c>
      <c r="R40" s="66">
        <f t="shared" si="17"/>
        <v>251</v>
      </c>
      <c r="S40" s="66">
        <f t="shared" si="17"/>
        <v>1037</v>
      </c>
      <c r="T40" s="66">
        <f t="shared" si="17"/>
        <v>399</v>
      </c>
      <c r="U40" s="66">
        <f t="shared" si="17"/>
        <v>0</v>
      </c>
      <c r="V40" s="66">
        <f t="shared" si="17"/>
        <v>0</v>
      </c>
      <c r="W40" s="66">
        <f t="shared" si="17"/>
        <v>0</v>
      </c>
      <c r="X40" s="66">
        <f t="shared" si="17"/>
        <v>0</v>
      </c>
      <c r="Y40" s="66">
        <f t="shared" si="17"/>
        <v>0</v>
      </c>
      <c r="Z40" s="66">
        <f t="shared" si="18"/>
        <v>0</v>
      </c>
      <c r="AA40" s="66">
        <f t="shared" si="18"/>
        <v>0</v>
      </c>
      <c r="AB40" s="66">
        <f t="shared" si="18"/>
        <v>0</v>
      </c>
      <c r="AC40" s="66">
        <f t="shared" si="18"/>
        <v>0</v>
      </c>
      <c r="AD40" s="66">
        <f t="shared" si="18"/>
        <v>0</v>
      </c>
      <c r="AE40" s="66">
        <f t="shared" si="18"/>
        <v>0</v>
      </c>
      <c r="AF40" s="66">
        <f t="shared" si="18"/>
        <v>0</v>
      </c>
      <c r="AG40" s="66">
        <f t="shared" si="18"/>
        <v>0</v>
      </c>
      <c r="AH40" s="66">
        <f t="shared" si="18"/>
        <v>0</v>
      </c>
      <c r="AI40" s="66">
        <f t="shared" si="18"/>
        <v>0</v>
      </c>
      <c r="AJ40" s="66">
        <f t="shared" si="19"/>
        <v>0</v>
      </c>
      <c r="AK40" s="66">
        <f t="shared" si="19"/>
        <v>0</v>
      </c>
      <c r="AL40" s="66">
        <f t="shared" si="19"/>
        <v>0</v>
      </c>
      <c r="AM40" s="66">
        <f t="shared" si="19"/>
        <v>0</v>
      </c>
      <c r="AN40" s="66">
        <f t="shared" si="19"/>
        <v>0</v>
      </c>
      <c r="AO40" s="66">
        <f t="shared" si="19"/>
        <v>0</v>
      </c>
    </row>
    <row r="41" spans="1:41" ht="12.75">
      <c r="A41" s="32">
        <f t="shared" si="7"/>
        <v>36982</v>
      </c>
      <c r="B41" s="36">
        <f>IF($A41="","",IF(VLOOKUP($A41,TrendFacDump,2,FALSE)=0,0,VLOOKUP(EOMONTH(ValDat,-1)+1,TrendFacDump,2,FALSE)/VLOOKUP($A41,TrendFacDump,2,FALSE)))</f>
        <v>1.0147133434804667</v>
      </c>
      <c r="C41" s="50">
        <f t="shared" si="1"/>
        <v>2809.872</v>
      </c>
      <c r="D41" s="66">
        <f t="shared" si="2"/>
        <v>52143</v>
      </c>
      <c r="E41" s="67">
        <f>IF($A41="","",E40+F41+G40+H39+I38+J37+K36+L35+M34+N33+O32+P31+Q30+R29+S28+T27+U26+V25+W24+X23+Y22+Z21+AA20+AB19+AC18+AD17+AE16+AF15+AG14+AH13+AI12+AJ11+AK10+AL9)</f>
        <v>6095438</v>
      </c>
      <c r="F41" s="66">
        <f t="shared" si="16"/>
        <v>753</v>
      </c>
      <c r="G41" s="66">
        <f t="shared" si="16"/>
        <v>13772</v>
      </c>
      <c r="H41" s="66">
        <f t="shared" si="16"/>
        <v>13968</v>
      </c>
      <c r="I41" s="66">
        <f t="shared" si="16"/>
        <v>12573</v>
      </c>
      <c r="J41" s="66">
        <f t="shared" si="16"/>
        <v>2779</v>
      </c>
      <c r="K41" s="66">
        <f t="shared" si="16"/>
        <v>5650</v>
      </c>
      <c r="L41" s="66">
        <f t="shared" si="16"/>
        <v>674</v>
      </c>
      <c r="M41" s="66">
        <f t="shared" si="16"/>
        <v>1530</v>
      </c>
      <c r="N41" s="66">
        <f t="shared" si="16"/>
        <v>322</v>
      </c>
      <c r="O41" s="66">
        <f t="shared" si="16"/>
        <v>0</v>
      </c>
      <c r="P41" s="66">
        <f t="shared" si="17"/>
        <v>92</v>
      </c>
      <c r="Q41" s="66">
        <f t="shared" si="17"/>
        <v>0</v>
      </c>
      <c r="R41" s="66">
        <f t="shared" si="17"/>
        <v>0</v>
      </c>
      <c r="S41" s="66">
        <f t="shared" si="17"/>
        <v>0</v>
      </c>
      <c r="T41" s="66">
        <f t="shared" si="17"/>
        <v>0</v>
      </c>
      <c r="U41" s="66">
        <f t="shared" si="17"/>
        <v>0</v>
      </c>
      <c r="V41" s="66">
        <f t="shared" si="17"/>
        <v>30</v>
      </c>
      <c r="W41" s="66">
        <f t="shared" si="17"/>
        <v>0</v>
      </c>
      <c r="X41" s="66">
        <f t="shared" si="17"/>
        <v>0</v>
      </c>
      <c r="Y41" s="66">
        <f t="shared" si="17"/>
        <v>0</v>
      </c>
      <c r="Z41" s="66">
        <f t="shared" si="18"/>
        <v>0</v>
      </c>
      <c r="AA41" s="66">
        <f t="shared" si="18"/>
        <v>0</v>
      </c>
      <c r="AB41" s="66">
        <f t="shared" si="18"/>
        <v>0</v>
      </c>
      <c r="AC41" s="66">
        <f t="shared" si="18"/>
        <v>0</v>
      </c>
      <c r="AD41" s="66">
        <f t="shared" si="18"/>
        <v>0</v>
      </c>
      <c r="AE41" s="66">
        <f t="shared" si="18"/>
        <v>0</v>
      </c>
      <c r="AF41" s="66">
        <f t="shared" si="18"/>
        <v>0</v>
      </c>
      <c r="AG41" s="66">
        <f t="shared" si="18"/>
        <v>0</v>
      </c>
      <c r="AH41" s="66">
        <f t="shared" si="18"/>
        <v>0</v>
      </c>
      <c r="AI41" s="66">
        <f t="shared" si="18"/>
        <v>0</v>
      </c>
      <c r="AJ41" s="66">
        <f t="shared" si="19"/>
        <v>0</v>
      </c>
      <c r="AK41" s="66">
        <f t="shared" si="19"/>
        <v>0</v>
      </c>
      <c r="AL41" s="66">
        <f t="shared" si="19"/>
        <v>0</v>
      </c>
      <c r="AM41" s="66">
        <f t="shared" si="19"/>
        <v>0</v>
      </c>
      <c r="AN41" s="66">
        <f t="shared" si="19"/>
        <v>0</v>
      </c>
      <c r="AO41" s="66">
        <f t="shared" si="19"/>
        <v>0</v>
      </c>
    </row>
    <row r="42" spans="1:41" ht="12.75">
      <c r="A42" s="32">
        <f t="shared" si="7"/>
        <v>37012</v>
      </c>
      <c r="B42" s="36">
        <f>IF($A42="","",IF(VLOOKUP($A42,TrendFacDump,2,FALSE)=0,0,VLOOKUP(EOMONTH(ValDat,-1)+1,TrendFacDump,2,FALSE)/VLOOKUP($A42,TrendFacDump,2,FALSE)))</f>
        <v>1.0097950116126426</v>
      </c>
      <c r="C42" s="50">
        <f t="shared" si="1"/>
        <v>2815.611</v>
      </c>
      <c r="D42" s="66">
        <f t="shared" si="2"/>
        <v>52143</v>
      </c>
      <c r="E42" s="67">
        <f>IF($A42="","",E41+F42+G41+H40+I39+J38+K37+L36+M35+N34+O33+P32+Q31+R30+S29+T28+U27+V26+W25+X24+Y23+Z22+AA21+AB20+AC19+AD18+AE17+AF16+AG15+AH14+AI13+AJ12+AK11+AL10+AM9)</f>
        <v>6171157</v>
      </c>
      <c r="F42" s="66">
        <f t="shared" si="16"/>
        <v>12673</v>
      </c>
      <c r="G42" s="66">
        <f t="shared" si="16"/>
        <v>20961</v>
      </c>
      <c r="H42" s="66">
        <f t="shared" si="16"/>
        <v>6855</v>
      </c>
      <c r="I42" s="66">
        <f t="shared" si="16"/>
        <v>5064</v>
      </c>
      <c r="J42" s="66">
        <f t="shared" si="16"/>
        <v>3297</v>
      </c>
      <c r="K42" s="66">
        <f t="shared" si="16"/>
        <v>1391</v>
      </c>
      <c r="L42" s="66">
        <f t="shared" si="16"/>
        <v>1458</v>
      </c>
      <c r="M42" s="66">
        <f t="shared" si="16"/>
        <v>126</v>
      </c>
      <c r="N42" s="66">
        <f t="shared" si="16"/>
        <v>196</v>
      </c>
      <c r="O42" s="66">
        <f t="shared" si="16"/>
        <v>0</v>
      </c>
      <c r="P42" s="66">
        <f t="shared" si="17"/>
        <v>92</v>
      </c>
      <c r="Q42" s="66">
        <f t="shared" si="17"/>
        <v>0</v>
      </c>
      <c r="R42" s="66">
        <f t="shared" si="17"/>
        <v>0</v>
      </c>
      <c r="S42" s="66">
        <f t="shared" si="17"/>
        <v>0</v>
      </c>
      <c r="T42" s="66">
        <f t="shared" si="17"/>
        <v>0</v>
      </c>
      <c r="U42" s="66">
        <f t="shared" si="17"/>
        <v>0</v>
      </c>
      <c r="V42" s="66">
        <f t="shared" si="17"/>
        <v>30</v>
      </c>
      <c r="W42" s="66">
        <f t="shared" si="17"/>
        <v>0</v>
      </c>
      <c r="X42" s="66">
        <f t="shared" si="17"/>
        <v>0</v>
      </c>
      <c r="Y42" s="66">
        <f t="shared" si="17"/>
        <v>0</v>
      </c>
      <c r="Z42" s="66">
        <f t="shared" si="18"/>
        <v>0</v>
      </c>
      <c r="AA42" s="66">
        <f t="shared" si="18"/>
        <v>0</v>
      </c>
      <c r="AB42" s="66">
        <f t="shared" si="18"/>
        <v>0</v>
      </c>
      <c r="AC42" s="66">
        <f t="shared" si="18"/>
        <v>0</v>
      </c>
      <c r="AD42" s="66">
        <f t="shared" si="18"/>
        <v>0</v>
      </c>
      <c r="AE42" s="66">
        <f t="shared" si="18"/>
        <v>0</v>
      </c>
      <c r="AF42" s="66">
        <f t="shared" si="18"/>
        <v>0</v>
      </c>
      <c r="AG42" s="66">
        <f t="shared" si="18"/>
        <v>0</v>
      </c>
      <c r="AH42" s="66">
        <f t="shared" si="18"/>
        <v>0</v>
      </c>
      <c r="AI42" s="66">
        <f t="shared" si="18"/>
        <v>0</v>
      </c>
      <c r="AJ42" s="66">
        <f t="shared" si="19"/>
        <v>0</v>
      </c>
      <c r="AK42" s="66">
        <f t="shared" si="19"/>
        <v>0</v>
      </c>
      <c r="AL42" s="66">
        <f t="shared" si="19"/>
        <v>0</v>
      </c>
      <c r="AM42" s="66">
        <f t="shared" si="19"/>
        <v>0</v>
      </c>
      <c r="AN42" s="66">
        <f t="shared" si="19"/>
        <v>0</v>
      </c>
      <c r="AO42" s="66">
        <f t="shared" si="19"/>
        <v>0</v>
      </c>
    </row>
    <row r="43" spans="1:41" ht="12.75">
      <c r="A43" s="32">
        <f t="shared" si="7"/>
        <v>37043</v>
      </c>
      <c r="B43" s="36">
        <f>IF($A43="","",IF(VLOOKUP($A43,TrendFacDump,2,FALSE)=0,0,VLOOKUP(EOMONTH(ValDat,-1)+1,TrendFacDump,2,FALSE)/VLOOKUP($A43,TrendFacDump,2,FALSE)))</f>
        <v>1.004823151125402</v>
      </c>
      <c r="C43" s="50">
        <f t="shared" si="1"/>
        <v>2810.516</v>
      </c>
      <c r="D43" s="66">
        <f t="shared" si="2"/>
        <v>0</v>
      </c>
      <c r="E43" s="67">
        <f>IF($A43="","",E42+F43+G42+H41+I40+J39+K38+L37+M36+N35+O34+P33+Q32+R31+S30+T29+U28+V27+W26+X25+Y24+Z23+AA22+AB21+AC20+AD19+AE18+AF17+AG16+AH15+AI14+AJ13+AK12+AL11+AM10+AN9)</f>
        <v>6220018</v>
      </c>
      <c r="F43" s="66">
        <f t="shared" si="16"/>
        <v>0</v>
      </c>
      <c r="G43" s="66">
        <f t="shared" si="16"/>
        <v>0</v>
      </c>
      <c r="H43" s="66">
        <f t="shared" si="16"/>
        <v>0</v>
      </c>
      <c r="I43" s="66">
        <f t="shared" si="16"/>
        <v>0</v>
      </c>
      <c r="J43" s="66">
        <f t="shared" si="16"/>
        <v>0</v>
      </c>
      <c r="K43" s="66">
        <f t="shared" si="16"/>
        <v>0</v>
      </c>
      <c r="L43" s="66">
        <f t="shared" si="16"/>
        <v>0</v>
      </c>
      <c r="M43" s="66">
        <f t="shared" si="16"/>
        <v>0</v>
      </c>
      <c r="N43" s="66">
        <f t="shared" si="16"/>
        <v>0</v>
      </c>
      <c r="O43" s="66">
        <f t="shared" si="16"/>
        <v>0</v>
      </c>
      <c r="P43" s="66">
        <f t="shared" si="17"/>
        <v>0</v>
      </c>
      <c r="Q43" s="66">
        <f t="shared" si="17"/>
        <v>0</v>
      </c>
      <c r="R43" s="66">
        <f t="shared" si="17"/>
        <v>0</v>
      </c>
      <c r="S43" s="66">
        <f t="shared" si="17"/>
        <v>0</v>
      </c>
      <c r="T43" s="66">
        <f t="shared" si="17"/>
        <v>0</v>
      </c>
      <c r="U43" s="66">
        <f t="shared" si="17"/>
        <v>0</v>
      </c>
      <c r="V43" s="66">
        <f t="shared" si="17"/>
        <v>0</v>
      </c>
      <c r="W43" s="66">
        <f t="shared" si="17"/>
        <v>0</v>
      </c>
      <c r="X43" s="66">
        <f t="shared" si="17"/>
        <v>0</v>
      </c>
      <c r="Y43" s="66">
        <f t="shared" si="17"/>
        <v>0</v>
      </c>
      <c r="Z43" s="66">
        <f t="shared" si="18"/>
        <v>0</v>
      </c>
      <c r="AA43" s="66">
        <f t="shared" si="18"/>
        <v>0</v>
      </c>
      <c r="AB43" s="66">
        <f t="shared" si="18"/>
        <v>0</v>
      </c>
      <c r="AC43" s="66">
        <f t="shared" si="18"/>
        <v>0</v>
      </c>
      <c r="AD43" s="66">
        <f t="shared" si="18"/>
        <v>0</v>
      </c>
      <c r="AE43" s="66">
        <f t="shared" si="18"/>
        <v>0</v>
      </c>
      <c r="AF43" s="66">
        <f t="shared" si="18"/>
        <v>0</v>
      </c>
      <c r="AG43" s="66">
        <f t="shared" si="18"/>
        <v>0</v>
      </c>
      <c r="AH43" s="66">
        <f t="shared" si="18"/>
        <v>0</v>
      </c>
      <c r="AI43" s="66">
        <f t="shared" si="18"/>
        <v>0</v>
      </c>
      <c r="AJ43" s="66">
        <f t="shared" si="19"/>
        <v>0</v>
      </c>
      <c r="AK43" s="66">
        <f t="shared" si="19"/>
        <v>0</v>
      </c>
      <c r="AL43" s="66">
        <f t="shared" si="19"/>
        <v>0</v>
      </c>
      <c r="AM43" s="66">
        <f t="shared" si="19"/>
        <v>0</v>
      </c>
      <c r="AN43" s="66">
        <f t="shared" si="19"/>
        <v>0</v>
      </c>
      <c r="AO43" s="66">
        <f t="shared" si="19"/>
        <v>0</v>
      </c>
    </row>
    <row r="44" spans="1:41" ht="13.5" thickBot="1">
      <c r="A44" s="32">
        <f t="shared" si="7"/>
        <v>37073</v>
      </c>
      <c r="B44" s="36">
        <f>IF($A44="","",IF(VLOOKUP($A44,TrendFacDump,2,FALSE)=0,0,VLOOKUP(EOMONTH(ValDat,-1)+1,TrendFacDump,2,FALSE)/VLOOKUP($A44,TrendFacDump,2,FALSE)))</f>
        <v>1</v>
      </c>
      <c r="C44" s="50">
        <f t="shared" si="1"/>
        <v>2830.074</v>
      </c>
      <c r="D44" s="66">
        <f t="shared" si="2"/>
        <v>0</v>
      </c>
      <c r="E44" s="67">
        <f>IF($A44="","",E43+F44+G43+H42+I41+J40+K39+L38+M37+N36+O35+P34+Q33+R32+S31+T30+U29+V28+W27+X26+Y25+Z24+AA23+AB22+AC21+AD20+AE19+AF18+AG17+AH16+AI15+AJ14+AK13+AL12+AM11+AN10+AO9)</f>
        <v>6253366</v>
      </c>
      <c r="F44" s="66">
        <f t="shared" si="16"/>
        <v>0</v>
      </c>
      <c r="G44" s="66">
        <f t="shared" si="16"/>
        <v>0</v>
      </c>
      <c r="H44" s="66">
        <f t="shared" si="16"/>
        <v>0</v>
      </c>
      <c r="I44" s="66">
        <f t="shared" si="16"/>
        <v>0</v>
      </c>
      <c r="J44" s="66">
        <f t="shared" si="16"/>
        <v>0</v>
      </c>
      <c r="K44" s="66">
        <f t="shared" si="16"/>
        <v>0</v>
      </c>
      <c r="L44" s="66">
        <f t="shared" si="16"/>
        <v>0</v>
      </c>
      <c r="M44" s="66">
        <f t="shared" si="16"/>
        <v>0</v>
      </c>
      <c r="N44" s="66">
        <f t="shared" si="16"/>
        <v>0</v>
      </c>
      <c r="O44" s="66">
        <f t="shared" si="16"/>
        <v>0</v>
      </c>
      <c r="P44" s="66">
        <f t="shared" si="17"/>
        <v>0</v>
      </c>
      <c r="Q44" s="66">
        <f t="shared" si="17"/>
        <v>0</v>
      </c>
      <c r="R44" s="66">
        <f t="shared" si="17"/>
        <v>0</v>
      </c>
      <c r="S44" s="66">
        <f t="shared" si="17"/>
        <v>0</v>
      </c>
      <c r="T44" s="66">
        <f t="shared" si="17"/>
        <v>0</v>
      </c>
      <c r="U44" s="66">
        <f t="shared" si="17"/>
        <v>0</v>
      </c>
      <c r="V44" s="66">
        <f t="shared" si="17"/>
        <v>0</v>
      </c>
      <c r="W44" s="66">
        <f t="shared" si="17"/>
        <v>0</v>
      </c>
      <c r="X44" s="66">
        <f t="shared" si="17"/>
        <v>0</v>
      </c>
      <c r="Y44" s="66">
        <f t="shared" si="17"/>
        <v>0</v>
      </c>
      <c r="Z44" s="66">
        <f t="shared" si="18"/>
        <v>0</v>
      </c>
      <c r="AA44" s="66">
        <f t="shared" si="18"/>
        <v>0</v>
      </c>
      <c r="AB44" s="66">
        <f t="shared" si="18"/>
        <v>0</v>
      </c>
      <c r="AC44" s="66">
        <f t="shared" si="18"/>
        <v>0</v>
      </c>
      <c r="AD44" s="66">
        <f t="shared" si="18"/>
        <v>0</v>
      </c>
      <c r="AE44" s="66">
        <f t="shared" si="18"/>
        <v>0</v>
      </c>
      <c r="AF44" s="66">
        <f t="shared" si="18"/>
        <v>0</v>
      </c>
      <c r="AG44" s="66">
        <f t="shared" si="18"/>
        <v>0</v>
      </c>
      <c r="AH44" s="66">
        <f t="shared" si="18"/>
        <v>0</v>
      </c>
      <c r="AI44" s="66">
        <f t="shared" si="18"/>
        <v>0</v>
      </c>
      <c r="AJ44" s="66">
        <f t="shared" si="19"/>
        <v>0</v>
      </c>
      <c r="AK44" s="66">
        <f t="shared" si="19"/>
        <v>0</v>
      </c>
      <c r="AL44" s="66">
        <f t="shared" si="19"/>
        <v>0</v>
      </c>
      <c r="AM44" s="66">
        <f t="shared" si="19"/>
        <v>0</v>
      </c>
      <c r="AN44" s="66">
        <f t="shared" si="19"/>
        <v>0</v>
      </c>
      <c r="AO44" s="66">
        <f t="shared" si="19"/>
        <v>0</v>
      </c>
    </row>
    <row r="45" spans="1:41" ht="13.5" thickTop="1">
      <c r="A45" s="7"/>
      <c r="B45" s="7"/>
      <c r="C45" s="57">
        <f>SUM(C9:C44)</f>
        <v>104079.17000000001</v>
      </c>
      <c r="D45" s="71">
        <f>SUM(D9:D44)</f>
        <v>6319704</v>
      </c>
      <c r="E45" s="68"/>
      <c r="F45" s="68">
        <f aca="true" t="shared" si="20" ref="F45:AO45">SUM(F9:F44)</f>
        <v>810047</v>
      </c>
      <c r="G45" s="68">
        <f t="shared" si="20"/>
        <v>2760061</v>
      </c>
      <c r="H45" s="68">
        <f t="shared" si="20"/>
        <v>1752668</v>
      </c>
      <c r="I45" s="68">
        <f t="shared" si="20"/>
        <v>333156</v>
      </c>
      <c r="J45" s="68">
        <f t="shared" si="20"/>
        <v>205872</v>
      </c>
      <c r="K45" s="68">
        <f t="shared" si="20"/>
        <v>141279</v>
      </c>
      <c r="L45" s="68">
        <f t="shared" si="20"/>
        <v>168218</v>
      </c>
      <c r="M45" s="68">
        <f t="shared" si="20"/>
        <v>4342</v>
      </c>
      <c r="N45" s="68">
        <f t="shared" si="20"/>
        <v>32314</v>
      </c>
      <c r="O45" s="68">
        <f t="shared" si="20"/>
        <v>23530</v>
      </c>
      <c r="P45" s="68">
        <f t="shared" si="20"/>
        <v>28614</v>
      </c>
      <c r="Q45" s="68">
        <f t="shared" si="20"/>
        <v>28181</v>
      </c>
      <c r="R45" s="68">
        <f t="shared" si="20"/>
        <v>18473</v>
      </c>
      <c r="S45" s="68">
        <f t="shared" si="20"/>
        <v>4507</v>
      </c>
      <c r="T45" s="68">
        <f t="shared" si="20"/>
        <v>1786</v>
      </c>
      <c r="U45" s="68">
        <f t="shared" si="20"/>
        <v>1084</v>
      </c>
      <c r="V45" s="68">
        <f t="shared" si="20"/>
        <v>1066</v>
      </c>
      <c r="W45" s="68">
        <f t="shared" si="20"/>
        <v>734</v>
      </c>
      <c r="X45" s="68">
        <f t="shared" si="20"/>
        <v>716</v>
      </c>
      <c r="Y45" s="68">
        <f t="shared" si="20"/>
        <v>0</v>
      </c>
      <c r="Z45" s="68">
        <f t="shared" si="20"/>
        <v>2206</v>
      </c>
      <c r="AA45" s="68">
        <f t="shared" si="20"/>
        <v>0</v>
      </c>
      <c r="AB45" s="68">
        <f t="shared" si="20"/>
        <v>96</v>
      </c>
      <c r="AC45" s="68">
        <f t="shared" si="20"/>
        <v>96</v>
      </c>
      <c r="AD45" s="68">
        <f t="shared" si="20"/>
        <v>0</v>
      </c>
      <c r="AE45" s="68">
        <f t="shared" si="20"/>
        <v>658</v>
      </c>
      <c r="AF45" s="68">
        <f t="shared" si="20"/>
        <v>0</v>
      </c>
      <c r="AG45" s="68">
        <f t="shared" si="20"/>
        <v>0</v>
      </c>
      <c r="AH45" s="68">
        <f t="shared" si="20"/>
        <v>0</v>
      </c>
      <c r="AI45" s="68">
        <f t="shared" si="20"/>
        <v>0</v>
      </c>
      <c r="AJ45" s="68">
        <f t="shared" si="20"/>
        <v>0</v>
      </c>
      <c r="AK45" s="68">
        <f t="shared" si="20"/>
        <v>0</v>
      </c>
      <c r="AL45" s="68">
        <f t="shared" si="20"/>
        <v>0</v>
      </c>
      <c r="AM45" s="68">
        <f t="shared" si="20"/>
        <v>0</v>
      </c>
      <c r="AN45" s="68">
        <f t="shared" si="20"/>
        <v>0</v>
      </c>
      <c r="AO45" s="68">
        <f t="shared" si="20"/>
        <v>0</v>
      </c>
    </row>
    <row r="46" spans="1:41" ht="16.5" customHeight="1">
      <c r="A46" s="1"/>
      <c r="B46" s="1"/>
      <c r="C46" s="1"/>
      <c r="D46" s="1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ht="14.25">
      <c r="A47" s="1"/>
      <c r="B47" s="1"/>
      <c r="C47" s="1"/>
      <c r="D47" s="1"/>
      <c r="E47" s="1"/>
      <c r="F47" s="39" t="s">
        <v>59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1:41" ht="12.75">
      <c r="A48" s="1"/>
      <c r="B48" s="1"/>
      <c r="C48" s="1"/>
      <c r="D48" s="1"/>
      <c r="E48" s="87" t="s">
        <v>166</v>
      </c>
      <c r="F48" s="20">
        <f>MCF</f>
        <v>4</v>
      </c>
      <c r="G48" s="20">
        <f>F48</f>
        <v>4</v>
      </c>
      <c r="H48" s="20">
        <f aca="true" t="shared" si="21" ref="H48:AO48">G48</f>
        <v>4</v>
      </c>
      <c r="I48" s="20">
        <f t="shared" si="21"/>
        <v>4</v>
      </c>
      <c r="J48" s="20">
        <f t="shared" si="21"/>
        <v>4</v>
      </c>
      <c r="K48" s="20">
        <f t="shared" si="21"/>
        <v>4</v>
      </c>
      <c r="L48" s="20">
        <f t="shared" si="21"/>
        <v>4</v>
      </c>
      <c r="M48" s="20">
        <f t="shared" si="21"/>
        <v>4</v>
      </c>
      <c r="N48" s="20">
        <f t="shared" si="21"/>
        <v>4</v>
      </c>
      <c r="O48" s="20">
        <f t="shared" si="21"/>
        <v>4</v>
      </c>
      <c r="P48" s="20">
        <f t="shared" si="21"/>
        <v>4</v>
      </c>
      <c r="Q48" s="20">
        <f t="shared" si="21"/>
        <v>4</v>
      </c>
      <c r="R48" s="20">
        <f t="shared" si="21"/>
        <v>4</v>
      </c>
      <c r="S48" s="20">
        <f t="shared" si="21"/>
        <v>4</v>
      </c>
      <c r="T48" s="20">
        <f t="shared" si="21"/>
        <v>4</v>
      </c>
      <c r="U48" s="20">
        <f t="shared" si="21"/>
        <v>4</v>
      </c>
      <c r="V48" s="20">
        <f t="shared" si="21"/>
        <v>4</v>
      </c>
      <c r="W48" s="20">
        <f t="shared" si="21"/>
        <v>4</v>
      </c>
      <c r="X48" s="20">
        <f t="shared" si="21"/>
        <v>4</v>
      </c>
      <c r="Y48" s="20">
        <f t="shared" si="21"/>
        <v>4</v>
      </c>
      <c r="Z48" s="20">
        <f t="shared" si="21"/>
        <v>4</v>
      </c>
      <c r="AA48" s="20">
        <f t="shared" si="21"/>
        <v>4</v>
      </c>
      <c r="AB48" s="20">
        <f t="shared" si="21"/>
        <v>4</v>
      </c>
      <c r="AC48" s="20">
        <f t="shared" si="21"/>
        <v>4</v>
      </c>
      <c r="AD48" s="20">
        <f t="shared" si="21"/>
        <v>4</v>
      </c>
      <c r="AE48" s="20">
        <f t="shared" si="21"/>
        <v>4</v>
      </c>
      <c r="AF48" s="20">
        <f t="shared" si="21"/>
        <v>4</v>
      </c>
      <c r="AG48" s="20">
        <f t="shared" si="21"/>
        <v>4</v>
      </c>
      <c r="AH48" s="20">
        <f t="shared" si="21"/>
        <v>4</v>
      </c>
      <c r="AI48" s="20">
        <f t="shared" si="21"/>
        <v>4</v>
      </c>
      <c r="AJ48" s="20">
        <f t="shared" si="21"/>
        <v>4</v>
      </c>
      <c r="AK48" s="20">
        <f t="shared" si="21"/>
        <v>4</v>
      </c>
      <c r="AL48" s="20">
        <f t="shared" si="21"/>
        <v>4</v>
      </c>
      <c r="AM48" s="20">
        <f t="shared" si="21"/>
        <v>4</v>
      </c>
      <c r="AN48" s="20">
        <f t="shared" si="21"/>
        <v>4</v>
      </c>
      <c r="AO48" s="20">
        <f t="shared" si="21"/>
        <v>4</v>
      </c>
    </row>
    <row r="49" spans="1:41" ht="12.75">
      <c r="A49" s="21" t="s">
        <v>160</v>
      </c>
      <c r="B49" s="22"/>
      <c r="C49" s="22"/>
      <c r="D49" s="23"/>
      <c r="E49" s="89">
        <f>SUM(F49:AO49)</f>
        <v>262596</v>
      </c>
      <c r="F49" s="90">
        <f ca="1">IF(F$8&gt;MEP-1,0,SUM(OFFSET(F45,MAX(-F48-(ABS(F8-MRO)+(F8-MRO))/2,-MEP)-(MNR-MEP),0,MIN(F48,MEP-F8),1)))</f>
        <v>13426</v>
      </c>
      <c r="G49" s="90">
        <f ca="1">IF(G$8&gt;MEP-1,0,SUM(OFFSET(G45,MAX(-G48-(ABS(G8-MRO)+(G8-MRO))/2,-MEP)-(MNR-MEP),0,MIN(G48,MEP-G8),1)))</f>
        <v>78226</v>
      </c>
      <c r="H49" s="90">
        <f aca="true" ca="1" t="shared" si="22" ref="H49:AO49">IF(H$8&gt;MEP-1,0,SUM(OFFSET(H45,MAX(-H48-(ABS(H8-MRO)+(H8-MRO))/2,-MEP)-(MNR-MEP),0,MIN(H48,MEP-H8),1)))</f>
        <v>68002</v>
      </c>
      <c r="I49" s="90">
        <f ca="1" t="shared" si="22"/>
        <v>34797</v>
      </c>
      <c r="J49" s="90">
        <f ca="1" t="shared" si="22"/>
        <v>21800</v>
      </c>
      <c r="K49" s="90">
        <f ca="1" t="shared" si="22"/>
        <v>24545</v>
      </c>
      <c r="L49" s="90">
        <f ca="1" t="shared" si="22"/>
        <v>6843</v>
      </c>
      <c r="M49" s="90">
        <f ca="1" t="shared" si="22"/>
        <v>242</v>
      </c>
      <c r="N49" s="90">
        <f ca="1" t="shared" si="22"/>
        <v>2613</v>
      </c>
      <c r="O49" s="90">
        <f ca="1" t="shared" si="22"/>
        <v>9073</v>
      </c>
      <c r="P49" s="90">
        <f ca="1" t="shared" si="22"/>
        <v>281</v>
      </c>
      <c r="Q49" s="90">
        <f ca="1" t="shared" si="22"/>
        <v>211</v>
      </c>
      <c r="R49" s="90">
        <f ca="1" t="shared" si="22"/>
        <v>107</v>
      </c>
      <c r="S49" s="90">
        <f ca="1" t="shared" si="22"/>
        <v>998</v>
      </c>
      <c r="T49" s="90">
        <f ca="1" t="shared" si="22"/>
        <v>583</v>
      </c>
      <c r="U49" s="90">
        <f ca="1" t="shared" si="22"/>
        <v>534</v>
      </c>
      <c r="V49" s="90">
        <f ca="1" t="shared" si="22"/>
        <v>306</v>
      </c>
      <c r="W49" s="90">
        <f ca="1" t="shared" si="22"/>
        <v>9</v>
      </c>
      <c r="X49" s="90">
        <f ca="1" t="shared" si="22"/>
        <v>0</v>
      </c>
      <c r="Y49" s="90">
        <f ca="1" t="shared" si="22"/>
        <v>0</v>
      </c>
      <c r="Z49" s="90">
        <f ca="1" t="shared" si="22"/>
        <v>0</v>
      </c>
      <c r="AA49" s="90">
        <f ca="1" t="shared" si="22"/>
        <v>0</v>
      </c>
      <c r="AB49" s="90">
        <f ca="1" t="shared" si="22"/>
        <v>0</v>
      </c>
      <c r="AC49" s="90">
        <f ca="1" t="shared" si="22"/>
        <v>0</v>
      </c>
      <c r="AD49" s="90">
        <f ca="1" t="shared" si="22"/>
        <v>0</v>
      </c>
      <c r="AE49" s="90">
        <f ca="1" t="shared" si="22"/>
        <v>0</v>
      </c>
      <c r="AF49" s="90">
        <f ca="1" t="shared" si="22"/>
        <v>0</v>
      </c>
      <c r="AG49" s="90">
        <f ca="1" t="shared" si="22"/>
        <v>0</v>
      </c>
      <c r="AH49" s="90">
        <f ca="1" t="shared" si="22"/>
        <v>0</v>
      </c>
      <c r="AI49" s="90">
        <f ca="1" t="shared" si="22"/>
        <v>0</v>
      </c>
      <c r="AJ49" s="90">
        <f ca="1" t="shared" si="22"/>
        <v>0</v>
      </c>
      <c r="AK49" s="90">
        <f ca="1" t="shared" si="22"/>
        <v>0</v>
      </c>
      <c r="AL49" s="90">
        <f ca="1" t="shared" si="22"/>
        <v>0</v>
      </c>
      <c r="AM49" s="90">
        <f ca="1" t="shared" si="22"/>
        <v>0</v>
      </c>
      <c r="AN49" s="90">
        <f ca="1" t="shared" si="22"/>
        <v>0</v>
      </c>
      <c r="AO49" s="91">
        <f ca="1" t="shared" si="22"/>
        <v>0</v>
      </c>
    </row>
    <row r="50" spans="1:41" ht="12.75">
      <c r="A50" s="24" t="s">
        <v>159</v>
      </c>
      <c r="B50" s="25"/>
      <c r="C50" s="25"/>
      <c r="D50" s="26"/>
      <c r="E50" s="85">
        <f>SUM(F50:AO50)</f>
        <v>268648.92959491507</v>
      </c>
      <c r="F50" s="104">
        <f ca="1">IF(F$8&gt;MEP-1,0,SUMPRODUCT(OFFSET(F45,MAX(-F48-(ABS(F8-MRO)+(F8-MRO))/2,-MEP)-(MNR-MEP),0,MIN(F48,MEP-F8),1),OFFSET($B45,MAX(-F48-(ABS(F8-MRO)+(F8-MRO))/2,-MEP)-(MNR-MEP),0,MIN(F48,MEP-F8),1)))</f>
        <v>13561.211329807813</v>
      </c>
      <c r="G50" s="104">
        <f aca="true" ca="1" t="shared" si="23" ref="G50:AO50">IF(G$8&gt;MEP-1,0,SUMPRODUCT(OFFSET(G45,MAX(-G48-(ABS(G8-MRO)+(G8-MRO))/2,-MEP)-(MNR-MEP),0,MIN(G48,MEP-G8),1),OFFSET($B45,MAX(-G48-(ABS(G8-MRO)+(G8-MRO))/2,-MEP)-(MNR-MEP),0,MIN(G48,MEP-G8),1)))</f>
        <v>79485.35812913228</v>
      </c>
      <c r="H50" s="104">
        <f ca="1" t="shared" si="23"/>
        <v>69396.83680858999</v>
      </c>
      <c r="I50" s="104">
        <f ca="1" t="shared" si="23"/>
        <v>35545.79925043319</v>
      </c>
      <c r="J50" s="104">
        <f ca="1" t="shared" si="23"/>
        <v>22406.61999756893</v>
      </c>
      <c r="K50" s="104">
        <f ca="1" t="shared" si="23"/>
        <v>25369.604080770794</v>
      </c>
      <c r="L50" s="104">
        <f ca="1" t="shared" si="23"/>
        <v>7120.49971618963</v>
      </c>
      <c r="M50" s="104">
        <f ca="1" t="shared" si="23"/>
        <v>214.41903805930497</v>
      </c>
      <c r="N50" s="104">
        <f ca="1" t="shared" si="23"/>
        <v>2735.4533708186027</v>
      </c>
      <c r="O50" s="104">
        <f ca="1" t="shared" si="23"/>
        <v>9551.702732049562</v>
      </c>
      <c r="P50" s="104">
        <f ca="1" t="shared" si="23"/>
        <v>298.3331116893155</v>
      </c>
      <c r="Q50" s="104">
        <f ca="1" t="shared" si="23"/>
        <v>223.65910536357853</v>
      </c>
      <c r="R50" s="104">
        <f ca="1" t="shared" si="23"/>
        <v>117.3818524349156</v>
      </c>
      <c r="S50" s="104">
        <f ca="1" t="shared" si="23"/>
        <v>1071.4831105046947</v>
      </c>
      <c r="T50" s="104">
        <f ca="1" t="shared" si="23"/>
        <v>625.7555086764173</v>
      </c>
      <c r="U50" s="104">
        <f ca="1" t="shared" si="23"/>
        <v>580.7082992868777</v>
      </c>
      <c r="V50" s="104">
        <f ca="1" t="shared" si="23"/>
        <v>334.330044069128</v>
      </c>
      <c r="W50" s="104">
        <f ca="1" t="shared" si="23"/>
        <v>9.774109470026065</v>
      </c>
      <c r="X50" s="104">
        <f ca="1" t="shared" si="23"/>
        <v>0</v>
      </c>
      <c r="Y50" s="104">
        <f ca="1" t="shared" si="23"/>
        <v>0</v>
      </c>
      <c r="Z50" s="104">
        <f ca="1" t="shared" si="23"/>
        <v>0</v>
      </c>
      <c r="AA50" s="104">
        <f ca="1" t="shared" si="23"/>
        <v>0</v>
      </c>
      <c r="AB50" s="104">
        <f ca="1" t="shared" si="23"/>
        <v>0</v>
      </c>
      <c r="AC50" s="104">
        <f ca="1" t="shared" si="23"/>
        <v>0</v>
      </c>
      <c r="AD50" s="104">
        <f ca="1" t="shared" si="23"/>
        <v>0</v>
      </c>
      <c r="AE50" s="104">
        <f ca="1" t="shared" si="23"/>
        <v>0</v>
      </c>
      <c r="AF50" s="104">
        <f ca="1" t="shared" si="23"/>
        <v>0</v>
      </c>
      <c r="AG50" s="104">
        <f ca="1" t="shared" si="23"/>
        <v>0</v>
      </c>
      <c r="AH50" s="104">
        <f ca="1" t="shared" si="23"/>
        <v>0</v>
      </c>
      <c r="AI50" s="104">
        <f ca="1" t="shared" si="23"/>
        <v>0</v>
      </c>
      <c r="AJ50" s="104">
        <f ca="1" t="shared" si="23"/>
        <v>0</v>
      </c>
      <c r="AK50" s="104">
        <f ca="1" t="shared" si="23"/>
        <v>0</v>
      </c>
      <c r="AL50" s="104">
        <f ca="1" t="shared" si="23"/>
        <v>0</v>
      </c>
      <c r="AM50" s="104">
        <f ca="1" t="shared" si="23"/>
        <v>0</v>
      </c>
      <c r="AN50" s="104">
        <f ca="1" t="shared" si="23"/>
        <v>0</v>
      </c>
      <c r="AO50" s="107">
        <f ca="1" t="shared" si="23"/>
        <v>0</v>
      </c>
    </row>
    <row r="51" spans="1:41" ht="12.75">
      <c r="A51" s="27" t="s">
        <v>161</v>
      </c>
      <c r="B51" s="28"/>
      <c r="C51" s="28"/>
      <c r="D51" s="29"/>
      <c r="E51" s="86"/>
      <c r="F51" s="92">
        <f ca="1">IF(F$8&gt;MEP-1,0,SUM(OFFSET($C45,MAX(-F48-(ABS(F8-MRO)+(F8-MRO))/2,-MEP)-(MNR-MEP),0,MIN(F48,MEP-F8),1)))</f>
        <v>11266.073</v>
      </c>
      <c r="G51" s="92">
        <f aca="true" ca="1" t="shared" si="24" ref="G51:AO51">IF(G$8&gt;MEP-1,0,SUM(OFFSET($C45,MAX(-G48-(ABS(G8-MRO)+(G8-MRO))/2,-MEP)-(MNR-MEP),0,MIN(G48,MEP-G8),1)))</f>
        <v>11284.34</v>
      </c>
      <c r="H51" s="92">
        <f ca="1" t="shared" si="24"/>
        <v>11360.851999999999</v>
      </c>
      <c r="I51" s="92">
        <f ca="1" t="shared" si="24"/>
        <v>11433.044</v>
      </c>
      <c r="J51" s="92">
        <f ca="1" t="shared" si="24"/>
        <v>11510.352</v>
      </c>
      <c r="K51" s="92">
        <f ca="1" t="shared" si="24"/>
        <v>11559.235999999999</v>
      </c>
      <c r="L51" s="92">
        <f ca="1" t="shared" si="24"/>
        <v>11599.474</v>
      </c>
      <c r="M51" s="92">
        <f ca="1" t="shared" si="24"/>
        <v>11665.006000000001</v>
      </c>
      <c r="N51" s="92">
        <f ca="1" t="shared" si="24"/>
        <v>11765.189</v>
      </c>
      <c r="O51" s="92">
        <f ca="1" t="shared" si="24"/>
        <v>11874.029999999999</v>
      </c>
      <c r="P51" s="92">
        <f ca="1" t="shared" si="24"/>
        <v>11966.257999999998</v>
      </c>
      <c r="Q51" s="92">
        <f ca="1" t="shared" si="24"/>
        <v>12066.181999999999</v>
      </c>
      <c r="R51" s="92">
        <f ca="1" t="shared" si="24"/>
        <v>12106.623</v>
      </c>
      <c r="S51" s="92">
        <f ca="1" t="shared" si="24"/>
        <v>12101.947</v>
      </c>
      <c r="T51" s="92">
        <f ca="1" t="shared" si="24"/>
        <v>12088.512</v>
      </c>
      <c r="U51" s="92">
        <f ca="1" t="shared" si="24"/>
        <v>12038.576</v>
      </c>
      <c r="V51" s="92">
        <f ca="1" t="shared" si="24"/>
        <v>12029.492999999999</v>
      </c>
      <c r="W51" s="92">
        <f ca="1" t="shared" si="24"/>
        <v>12042.186000000002</v>
      </c>
      <c r="X51" s="92">
        <f ca="1" t="shared" si="24"/>
        <v>11979.477</v>
      </c>
      <c r="Y51" s="92">
        <f ca="1" t="shared" si="24"/>
        <v>11950.039</v>
      </c>
      <c r="Z51" s="92">
        <f ca="1" t="shared" si="24"/>
        <v>11889.131000000001</v>
      </c>
      <c r="AA51" s="92">
        <f ca="1" t="shared" si="24"/>
        <v>11705.434000000001</v>
      </c>
      <c r="AB51" s="92">
        <f ca="1" t="shared" si="24"/>
        <v>11603.006</v>
      </c>
      <c r="AC51" s="92">
        <f ca="1" t="shared" si="24"/>
        <v>11503.147</v>
      </c>
      <c r="AD51" s="92">
        <f ca="1" t="shared" si="24"/>
        <v>11455.701000000001</v>
      </c>
      <c r="AE51" s="92">
        <f ca="1" t="shared" si="24"/>
        <v>11454.891000000001</v>
      </c>
      <c r="AF51" s="92">
        <f ca="1" t="shared" si="24"/>
        <v>11430.595</v>
      </c>
      <c r="AG51" s="92">
        <f ca="1" t="shared" si="24"/>
        <v>11391.631</v>
      </c>
      <c r="AH51" s="92">
        <f ca="1" t="shared" si="24"/>
        <v>11307.723000000002</v>
      </c>
      <c r="AI51" s="92">
        <f ca="1" t="shared" si="24"/>
        <v>11258.901</v>
      </c>
      <c r="AJ51" s="92">
        <f ca="1" t="shared" si="24"/>
        <v>11170.482999999998</v>
      </c>
      <c r="AK51" s="92">
        <f ca="1" t="shared" si="24"/>
        <v>10999.188</v>
      </c>
      <c r="AL51" s="92">
        <f ca="1" t="shared" si="24"/>
        <v>10748.884999999998</v>
      </c>
      <c r="AM51" s="92">
        <f ca="1" t="shared" si="24"/>
        <v>7968.130999999999</v>
      </c>
      <c r="AN51" s="92">
        <f ca="1" t="shared" si="24"/>
        <v>5239.923</v>
      </c>
      <c r="AO51" s="93">
        <f ca="1" t="shared" si="24"/>
        <v>2576.156</v>
      </c>
    </row>
    <row r="52" spans="1:41" ht="12.75">
      <c r="A52" s="21" t="s">
        <v>164</v>
      </c>
      <c r="B52" s="22"/>
      <c r="C52" s="22"/>
      <c r="D52" s="23"/>
      <c r="E52" s="86">
        <f>SUM(F52:AO52)</f>
        <v>23.545917304512518</v>
      </c>
      <c r="F52" s="94">
        <f>IF(F51=0,0,F50/F51)</f>
        <v>1.2037212371877772</v>
      </c>
      <c r="G52" s="94">
        <f aca="true" t="shared" si="25" ref="G52:AO52">IF(G51=0,0,G50/G51)</f>
        <v>7.043864163002203</v>
      </c>
      <c r="H52" s="94">
        <f t="shared" si="25"/>
        <v>6.108418348253282</v>
      </c>
      <c r="I52" s="94">
        <f t="shared" si="25"/>
        <v>3.109040711330525</v>
      </c>
      <c r="J52" s="94">
        <f t="shared" si="25"/>
        <v>1.9466494158970056</v>
      </c>
      <c r="K52" s="94">
        <f t="shared" si="25"/>
        <v>2.1947474799174267</v>
      </c>
      <c r="L52" s="94">
        <f t="shared" si="25"/>
        <v>0.6138640179881976</v>
      </c>
      <c r="M52" s="94">
        <f t="shared" si="25"/>
        <v>0.018381391150532195</v>
      </c>
      <c r="N52" s="94">
        <f t="shared" si="25"/>
        <v>0.23250398874328349</v>
      </c>
      <c r="O52" s="94">
        <f t="shared" si="25"/>
        <v>0.8044196226596667</v>
      </c>
      <c r="P52" s="94">
        <f t="shared" si="25"/>
        <v>0.024931195005933816</v>
      </c>
      <c r="Q52" s="94">
        <f t="shared" si="25"/>
        <v>0.018536029488331815</v>
      </c>
      <c r="R52" s="94">
        <f t="shared" si="25"/>
        <v>0.009695672561614879</v>
      </c>
      <c r="S52" s="94">
        <f t="shared" si="25"/>
        <v>0.0885380766007895</v>
      </c>
      <c r="T52" s="94">
        <f t="shared" si="25"/>
        <v>0.05176447760290243</v>
      </c>
      <c r="U52" s="94">
        <f t="shared" si="25"/>
        <v>0.048237291460956656</v>
      </c>
      <c r="V52" s="94">
        <f t="shared" si="25"/>
        <v>0.027792529915361193</v>
      </c>
      <c r="W52" s="94">
        <f t="shared" si="25"/>
        <v>0.0008116557467245618</v>
      </c>
      <c r="X52" s="94">
        <f t="shared" si="25"/>
        <v>0</v>
      </c>
      <c r="Y52" s="94">
        <f t="shared" si="25"/>
        <v>0</v>
      </c>
      <c r="Z52" s="94">
        <f t="shared" si="25"/>
        <v>0</v>
      </c>
      <c r="AA52" s="94">
        <f t="shared" si="25"/>
        <v>0</v>
      </c>
      <c r="AB52" s="94">
        <f t="shared" si="25"/>
        <v>0</v>
      </c>
      <c r="AC52" s="94">
        <f t="shared" si="25"/>
        <v>0</v>
      </c>
      <c r="AD52" s="94">
        <f t="shared" si="25"/>
        <v>0</v>
      </c>
      <c r="AE52" s="94">
        <f t="shared" si="25"/>
        <v>0</v>
      </c>
      <c r="AF52" s="94">
        <f t="shared" si="25"/>
        <v>0</v>
      </c>
      <c r="AG52" s="94">
        <f t="shared" si="25"/>
        <v>0</v>
      </c>
      <c r="AH52" s="94">
        <f t="shared" si="25"/>
        <v>0</v>
      </c>
      <c r="AI52" s="94">
        <f t="shared" si="25"/>
        <v>0</v>
      </c>
      <c r="AJ52" s="94">
        <f t="shared" si="25"/>
        <v>0</v>
      </c>
      <c r="AK52" s="94">
        <f t="shared" si="25"/>
        <v>0</v>
      </c>
      <c r="AL52" s="94">
        <f t="shared" si="25"/>
        <v>0</v>
      </c>
      <c r="AM52" s="94">
        <f t="shared" si="25"/>
        <v>0</v>
      </c>
      <c r="AN52" s="94">
        <f t="shared" si="25"/>
        <v>0</v>
      </c>
      <c r="AO52" s="93">
        <f t="shared" si="25"/>
        <v>0</v>
      </c>
    </row>
    <row r="53" spans="1:41" ht="12.75">
      <c r="A53" s="24" t="s">
        <v>162</v>
      </c>
      <c r="B53" s="25"/>
      <c r="C53" s="25"/>
      <c r="D53" s="26"/>
      <c r="E53" s="86"/>
      <c r="F53" s="94">
        <f aca="true" t="shared" si="26" ref="F53:AO53">E53+F52</f>
        <v>1.2037212371877772</v>
      </c>
      <c r="G53" s="94">
        <f t="shared" si="26"/>
        <v>8.24758540018998</v>
      </c>
      <c r="H53" s="94">
        <f t="shared" si="26"/>
        <v>14.35600374844326</v>
      </c>
      <c r="I53" s="94">
        <f t="shared" si="26"/>
        <v>17.465044459773786</v>
      </c>
      <c r="J53" s="94">
        <f t="shared" si="26"/>
        <v>19.411693875670792</v>
      </c>
      <c r="K53" s="94">
        <f t="shared" si="26"/>
        <v>21.60644135558822</v>
      </c>
      <c r="L53" s="94">
        <f t="shared" si="26"/>
        <v>22.22030537357642</v>
      </c>
      <c r="M53" s="94">
        <f t="shared" si="26"/>
        <v>22.238686764726953</v>
      </c>
      <c r="N53" s="94">
        <f t="shared" si="26"/>
        <v>22.471190753470236</v>
      </c>
      <c r="O53" s="94">
        <f t="shared" si="26"/>
        <v>23.2756103761299</v>
      </c>
      <c r="P53" s="94">
        <f t="shared" si="26"/>
        <v>23.300541571135835</v>
      </c>
      <c r="Q53" s="94">
        <f t="shared" si="26"/>
        <v>23.319077600624166</v>
      </c>
      <c r="R53" s="94">
        <f t="shared" si="26"/>
        <v>23.32877327318578</v>
      </c>
      <c r="S53" s="94">
        <f t="shared" si="26"/>
        <v>23.417311349786573</v>
      </c>
      <c r="T53" s="94">
        <f t="shared" si="26"/>
        <v>23.469075827389474</v>
      </c>
      <c r="U53" s="94">
        <f t="shared" si="26"/>
        <v>23.51731311885043</v>
      </c>
      <c r="V53" s="94">
        <f t="shared" si="26"/>
        <v>23.545105648765794</v>
      </c>
      <c r="W53" s="94">
        <f t="shared" si="26"/>
        <v>23.545917304512518</v>
      </c>
      <c r="X53" s="94">
        <f t="shared" si="26"/>
        <v>23.545917304512518</v>
      </c>
      <c r="Y53" s="94">
        <f t="shared" si="26"/>
        <v>23.545917304512518</v>
      </c>
      <c r="Z53" s="94">
        <f t="shared" si="26"/>
        <v>23.545917304512518</v>
      </c>
      <c r="AA53" s="94">
        <f t="shared" si="26"/>
        <v>23.545917304512518</v>
      </c>
      <c r="AB53" s="94">
        <f t="shared" si="26"/>
        <v>23.545917304512518</v>
      </c>
      <c r="AC53" s="94">
        <f t="shared" si="26"/>
        <v>23.545917304512518</v>
      </c>
      <c r="AD53" s="94">
        <f t="shared" si="26"/>
        <v>23.545917304512518</v>
      </c>
      <c r="AE53" s="94">
        <f t="shared" si="26"/>
        <v>23.545917304512518</v>
      </c>
      <c r="AF53" s="94">
        <f t="shared" si="26"/>
        <v>23.545917304512518</v>
      </c>
      <c r="AG53" s="94">
        <f t="shared" si="26"/>
        <v>23.545917304512518</v>
      </c>
      <c r="AH53" s="94">
        <f t="shared" si="26"/>
        <v>23.545917304512518</v>
      </c>
      <c r="AI53" s="94">
        <f t="shared" si="26"/>
        <v>23.545917304512518</v>
      </c>
      <c r="AJ53" s="94">
        <f t="shared" si="26"/>
        <v>23.545917304512518</v>
      </c>
      <c r="AK53" s="94">
        <f t="shared" si="26"/>
        <v>23.545917304512518</v>
      </c>
      <c r="AL53" s="94">
        <f t="shared" si="26"/>
        <v>23.545917304512518</v>
      </c>
      <c r="AM53" s="94">
        <f t="shared" si="26"/>
        <v>23.545917304512518</v>
      </c>
      <c r="AN53" s="94">
        <f t="shared" si="26"/>
        <v>23.545917304512518</v>
      </c>
      <c r="AO53" s="95">
        <f t="shared" si="26"/>
        <v>23.545917304512518</v>
      </c>
    </row>
    <row r="54" spans="1:41" ht="12.75">
      <c r="A54" s="27" t="s">
        <v>165</v>
      </c>
      <c r="B54" s="28"/>
      <c r="C54" s="28"/>
      <c r="D54" s="29"/>
      <c r="E54" s="96"/>
      <c r="F54" s="108">
        <f>IF($E52=0,0,ROUND(F53/$E52,5)*CMF)</f>
        <v>0.05112</v>
      </c>
      <c r="G54" s="108">
        <f aca="true" t="shared" si="27" ref="G54:AO54">IF($E52=0,0,ROUND(G53/$E52,5)*CMF)</f>
        <v>0.35028</v>
      </c>
      <c r="H54" s="108">
        <f t="shared" si="27"/>
        <v>0.6097</v>
      </c>
      <c r="I54" s="108">
        <f t="shared" si="27"/>
        <v>0.74174</v>
      </c>
      <c r="J54" s="108">
        <f t="shared" si="27"/>
        <v>0.82442</v>
      </c>
      <c r="K54" s="108">
        <f t="shared" si="27"/>
        <v>0.91763</v>
      </c>
      <c r="L54" s="108">
        <f t="shared" si="27"/>
        <v>0.9437</v>
      </c>
      <c r="M54" s="108">
        <f t="shared" si="27"/>
        <v>0.94448</v>
      </c>
      <c r="N54" s="108">
        <f t="shared" si="27"/>
        <v>0.95436</v>
      </c>
      <c r="O54" s="108">
        <f t="shared" si="27"/>
        <v>0.98852</v>
      </c>
      <c r="P54" s="108">
        <f t="shared" si="27"/>
        <v>0.98958</v>
      </c>
      <c r="Q54" s="108">
        <f t="shared" si="27"/>
        <v>0.99037</v>
      </c>
      <c r="R54" s="108">
        <f t="shared" si="27"/>
        <v>0.99078</v>
      </c>
      <c r="S54" s="108">
        <f t="shared" si="27"/>
        <v>0.99454</v>
      </c>
      <c r="T54" s="108">
        <f t="shared" si="27"/>
        <v>0.99674</v>
      </c>
      <c r="U54" s="108">
        <f t="shared" si="27"/>
        <v>0.99879</v>
      </c>
      <c r="V54" s="108">
        <f t="shared" si="27"/>
        <v>0.99997</v>
      </c>
      <c r="W54" s="108">
        <f t="shared" si="27"/>
        <v>1</v>
      </c>
      <c r="X54" s="108">
        <f t="shared" si="27"/>
        <v>1</v>
      </c>
      <c r="Y54" s="108">
        <f t="shared" si="27"/>
        <v>1</v>
      </c>
      <c r="Z54" s="108">
        <f t="shared" si="27"/>
        <v>1</v>
      </c>
      <c r="AA54" s="108">
        <f t="shared" si="27"/>
        <v>1</v>
      </c>
      <c r="AB54" s="108">
        <f t="shared" si="27"/>
        <v>1</v>
      </c>
      <c r="AC54" s="108">
        <f t="shared" si="27"/>
        <v>1</v>
      </c>
      <c r="AD54" s="108">
        <f t="shared" si="27"/>
        <v>1</v>
      </c>
      <c r="AE54" s="108">
        <f t="shared" si="27"/>
        <v>1</v>
      </c>
      <c r="AF54" s="108">
        <f t="shared" si="27"/>
        <v>1</v>
      </c>
      <c r="AG54" s="108">
        <f t="shared" si="27"/>
        <v>1</v>
      </c>
      <c r="AH54" s="108">
        <f t="shared" si="27"/>
        <v>1</v>
      </c>
      <c r="AI54" s="108">
        <f t="shared" si="27"/>
        <v>1</v>
      </c>
      <c r="AJ54" s="108">
        <f t="shared" si="27"/>
        <v>1</v>
      </c>
      <c r="AK54" s="108">
        <f t="shared" si="27"/>
        <v>1</v>
      </c>
      <c r="AL54" s="108">
        <f t="shared" si="27"/>
        <v>1</v>
      </c>
      <c r="AM54" s="108">
        <f t="shared" si="27"/>
        <v>1</v>
      </c>
      <c r="AN54" s="108">
        <f t="shared" si="27"/>
        <v>1</v>
      </c>
      <c r="AO54" s="109">
        <f t="shared" si="27"/>
        <v>1</v>
      </c>
    </row>
    <row r="55" spans="1:41" ht="12.75">
      <c r="A55" s="1"/>
      <c r="B55" s="1"/>
      <c r="C55" s="1"/>
      <c r="D55" s="1"/>
      <c r="E55" s="31"/>
      <c r="F55" s="4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s="156" customFormat="1" ht="12.75">
      <c r="A56" s="155"/>
      <c r="B56" s="155"/>
      <c r="C56" s="155"/>
      <c r="D56" s="155"/>
      <c r="E56" s="155"/>
      <c r="F56" s="136" t="str">
        <f>F7</f>
        <v>PAID CLAIMS / NUMBER OF MONTHS BETWEEN INCURRED AND PAID DATES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</row>
    <row r="57" spans="1:41" ht="12.75">
      <c r="A57" s="113" t="s">
        <v>172</v>
      </c>
      <c r="B57" s="115"/>
      <c r="C57" s="115"/>
      <c r="D57" s="116" t="s">
        <v>171</v>
      </c>
      <c r="E57" s="114"/>
      <c r="F57" s="20">
        <f>F8</f>
        <v>0</v>
      </c>
      <c r="G57" s="20">
        <f aca="true" t="shared" si="28" ref="G57:AO57">G8</f>
        <v>1</v>
      </c>
      <c r="H57" s="20">
        <f t="shared" si="28"/>
        <v>2</v>
      </c>
      <c r="I57" s="20">
        <f t="shared" si="28"/>
        <v>3</v>
      </c>
      <c r="J57" s="20">
        <f t="shared" si="28"/>
        <v>4</v>
      </c>
      <c r="K57" s="20">
        <f t="shared" si="28"/>
        <v>5</v>
      </c>
      <c r="L57" s="20">
        <f t="shared" si="28"/>
        <v>6</v>
      </c>
      <c r="M57" s="20">
        <f t="shared" si="28"/>
        <v>7</v>
      </c>
      <c r="N57" s="20">
        <f t="shared" si="28"/>
        <v>8</v>
      </c>
      <c r="O57" s="20">
        <f t="shared" si="28"/>
        <v>9</v>
      </c>
      <c r="P57" s="20">
        <f t="shared" si="28"/>
        <v>10</v>
      </c>
      <c r="Q57" s="20">
        <f t="shared" si="28"/>
        <v>11</v>
      </c>
      <c r="R57" s="20">
        <f t="shared" si="28"/>
        <v>12</v>
      </c>
      <c r="S57" s="20">
        <f t="shared" si="28"/>
        <v>13</v>
      </c>
      <c r="T57" s="20">
        <f t="shared" si="28"/>
        <v>14</v>
      </c>
      <c r="U57" s="20">
        <f t="shared" si="28"/>
        <v>15</v>
      </c>
      <c r="V57" s="20">
        <f t="shared" si="28"/>
        <v>16</v>
      </c>
      <c r="W57" s="20">
        <f t="shared" si="28"/>
        <v>17</v>
      </c>
      <c r="X57" s="20">
        <f t="shared" si="28"/>
        <v>18</v>
      </c>
      <c r="Y57" s="20">
        <f t="shared" si="28"/>
        <v>19</v>
      </c>
      <c r="Z57" s="20">
        <f t="shared" si="28"/>
        <v>20</v>
      </c>
      <c r="AA57" s="20">
        <f t="shared" si="28"/>
        <v>21</v>
      </c>
      <c r="AB57" s="20">
        <f t="shared" si="28"/>
        <v>22</v>
      </c>
      <c r="AC57" s="20">
        <f t="shared" si="28"/>
        <v>23</v>
      </c>
      <c r="AD57" s="20">
        <f t="shared" si="28"/>
        <v>24</v>
      </c>
      <c r="AE57" s="20">
        <f t="shared" si="28"/>
        <v>25</v>
      </c>
      <c r="AF57" s="20">
        <f t="shared" si="28"/>
        <v>26</v>
      </c>
      <c r="AG57" s="20">
        <f t="shared" si="28"/>
        <v>27</v>
      </c>
      <c r="AH57" s="20">
        <f t="shared" si="28"/>
        <v>28</v>
      </c>
      <c r="AI57" s="20">
        <f t="shared" si="28"/>
        <v>29</v>
      </c>
      <c r="AJ57" s="20">
        <f t="shared" si="28"/>
        <v>30</v>
      </c>
      <c r="AK57" s="20">
        <f t="shared" si="28"/>
        <v>31</v>
      </c>
      <c r="AL57" s="20">
        <f t="shared" si="28"/>
        <v>32</v>
      </c>
      <c r="AM57" s="20">
        <f t="shared" si="28"/>
        <v>33</v>
      </c>
      <c r="AN57" s="20">
        <f t="shared" si="28"/>
        <v>34</v>
      </c>
      <c r="AO57" s="20">
        <f t="shared" si="28"/>
        <v>35</v>
      </c>
    </row>
    <row r="58" spans="1:41" ht="12.75">
      <c r="A58" s="117">
        <f>ExpDat</f>
        <v>36008</v>
      </c>
      <c r="B58" s="118"/>
      <c r="C58" s="90"/>
      <c r="D58" s="90">
        <f aca="true" t="shared" si="29" ref="D58:D105">IF($A58="","",SUM(F58:AO58))</f>
        <v>50333</v>
      </c>
      <c r="E58" s="118"/>
      <c r="F58" s="90">
        <f aca="true" ca="1" t="shared" si="30" ref="F58:O67">IF($A58="","",IF(OR(F$8&lt;=ROUND(DAYS360(ValDat,$A58,0)/30,0),F$8&gt;ROUND(DAYS360(ExpDat,$A58,0)/30,0)),0,OFFSET(F$45,MAX(-MNR,ROUND(DAYS360(ValDat,$A58,0)/30,0)-F$8+MEP-MNR),0,1,1)))</f>
        <v>50333</v>
      </c>
      <c r="G58" s="90">
        <f ca="1" t="shared" si="30"/>
        <v>0</v>
      </c>
      <c r="H58" s="90">
        <f ca="1" t="shared" si="30"/>
        <v>0</v>
      </c>
      <c r="I58" s="90">
        <f ca="1" t="shared" si="30"/>
        <v>0</v>
      </c>
      <c r="J58" s="90">
        <f ca="1" t="shared" si="30"/>
        <v>0</v>
      </c>
      <c r="K58" s="90">
        <f ca="1" t="shared" si="30"/>
        <v>0</v>
      </c>
      <c r="L58" s="90">
        <f ca="1" t="shared" si="30"/>
        <v>0</v>
      </c>
      <c r="M58" s="90">
        <f ca="1" t="shared" si="30"/>
        <v>0</v>
      </c>
      <c r="N58" s="90">
        <f ca="1" t="shared" si="30"/>
        <v>0</v>
      </c>
      <c r="O58" s="90">
        <f ca="1" t="shared" si="30"/>
        <v>0</v>
      </c>
      <c r="P58" s="90">
        <f aca="true" ca="1" t="shared" si="31" ref="P58:Y67">IF($A58="","",IF(OR(P$8&lt;=ROUND(DAYS360(ValDat,$A58,0)/30,0),P$8&gt;ROUND(DAYS360(ExpDat,$A58,0)/30,0)),0,OFFSET(P$45,MAX(-MNR,ROUND(DAYS360(ValDat,$A58,0)/30,0)-P$8+MEP-MNR),0,1,1)))</f>
        <v>0</v>
      </c>
      <c r="Q58" s="90">
        <f ca="1" t="shared" si="31"/>
        <v>0</v>
      </c>
      <c r="R58" s="90">
        <f ca="1" t="shared" si="31"/>
        <v>0</v>
      </c>
      <c r="S58" s="90">
        <f ca="1" t="shared" si="31"/>
        <v>0</v>
      </c>
      <c r="T58" s="90">
        <f ca="1" t="shared" si="31"/>
        <v>0</v>
      </c>
      <c r="U58" s="90">
        <f ca="1" t="shared" si="31"/>
        <v>0</v>
      </c>
      <c r="V58" s="90">
        <f ca="1" t="shared" si="31"/>
        <v>0</v>
      </c>
      <c r="W58" s="90">
        <f ca="1" t="shared" si="31"/>
        <v>0</v>
      </c>
      <c r="X58" s="90">
        <f ca="1" t="shared" si="31"/>
        <v>0</v>
      </c>
      <c r="Y58" s="90">
        <f ca="1" t="shared" si="31"/>
        <v>0</v>
      </c>
      <c r="Z58" s="90">
        <f aca="true" ca="1" t="shared" si="32" ref="Z58:AI67">IF($A58="","",IF(OR(Z$8&lt;=ROUND(DAYS360(ValDat,$A58,0)/30,0),Z$8&gt;ROUND(DAYS360(ExpDat,$A58,0)/30,0)),0,OFFSET(Z$45,MAX(-MNR,ROUND(DAYS360(ValDat,$A58,0)/30,0)-Z$8+MEP-MNR),0,1,1)))</f>
        <v>0</v>
      </c>
      <c r="AA58" s="90">
        <f ca="1" t="shared" si="32"/>
        <v>0</v>
      </c>
      <c r="AB58" s="90">
        <f ca="1" t="shared" si="32"/>
        <v>0</v>
      </c>
      <c r="AC58" s="90">
        <f ca="1" t="shared" si="32"/>
        <v>0</v>
      </c>
      <c r="AD58" s="90">
        <f ca="1" t="shared" si="32"/>
        <v>0</v>
      </c>
      <c r="AE58" s="90">
        <f ca="1" t="shared" si="32"/>
        <v>0</v>
      </c>
      <c r="AF58" s="90">
        <f ca="1" t="shared" si="32"/>
        <v>0</v>
      </c>
      <c r="AG58" s="90">
        <f ca="1" t="shared" si="32"/>
        <v>0</v>
      </c>
      <c r="AH58" s="90">
        <f ca="1" t="shared" si="32"/>
        <v>0</v>
      </c>
      <c r="AI58" s="90">
        <f ca="1" t="shared" si="32"/>
        <v>0</v>
      </c>
      <c r="AJ58" s="90">
        <f aca="true" ca="1" t="shared" si="33" ref="AJ58:AO67">IF($A58="","",IF(OR(AJ$8&lt;=ROUND(DAYS360(ValDat,$A58,0)/30,0),AJ$8&gt;ROUND(DAYS360(ExpDat,$A58,0)/30,0)),0,OFFSET(AJ$45,MAX(-MNR,ROUND(DAYS360(ValDat,$A58,0)/30,0)-AJ$8+MEP-MNR),0,1,1)))</f>
        <v>0</v>
      </c>
      <c r="AK58" s="90">
        <f ca="1" t="shared" si="33"/>
        <v>0</v>
      </c>
      <c r="AL58" s="90">
        <f ca="1" t="shared" si="33"/>
        <v>0</v>
      </c>
      <c r="AM58" s="90">
        <f ca="1" t="shared" si="33"/>
        <v>0</v>
      </c>
      <c r="AN58" s="90">
        <f ca="1" t="shared" si="33"/>
        <v>0</v>
      </c>
      <c r="AO58" s="91">
        <f ca="1" t="shared" si="33"/>
        <v>0</v>
      </c>
    </row>
    <row r="59" spans="1:41" ht="12.75">
      <c r="A59" s="119">
        <f>IF(A58="","",IF(EOMONTH(A58,0)+1&gt;RunDat,"",EOMONTH(A58,0)+1))</f>
        <v>36039</v>
      </c>
      <c r="B59" s="120"/>
      <c r="C59" s="92"/>
      <c r="D59" s="92">
        <f t="shared" si="29"/>
        <v>50333</v>
      </c>
      <c r="E59" s="120"/>
      <c r="F59" s="104">
        <f ca="1" t="shared" si="30"/>
        <v>50333</v>
      </c>
      <c r="G59" s="92">
        <f ca="1" t="shared" si="30"/>
        <v>0</v>
      </c>
      <c r="H59" s="92">
        <f ca="1" t="shared" si="30"/>
        <v>0</v>
      </c>
      <c r="I59" s="92">
        <f ca="1" t="shared" si="30"/>
        <v>0</v>
      </c>
      <c r="J59" s="92">
        <f ca="1" t="shared" si="30"/>
        <v>0</v>
      </c>
      <c r="K59" s="92">
        <f ca="1" t="shared" si="30"/>
        <v>0</v>
      </c>
      <c r="L59" s="92">
        <f ca="1" t="shared" si="30"/>
        <v>0</v>
      </c>
      <c r="M59" s="92">
        <f ca="1" t="shared" si="30"/>
        <v>0</v>
      </c>
      <c r="N59" s="92">
        <f ca="1" t="shared" si="30"/>
        <v>0</v>
      </c>
      <c r="O59" s="92">
        <f ca="1" t="shared" si="30"/>
        <v>0</v>
      </c>
      <c r="P59" s="92">
        <f ca="1" t="shared" si="31"/>
        <v>0</v>
      </c>
      <c r="Q59" s="92">
        <f ca="1" t="shared" si="31"/>
        <v>0</v>
      </c>
      <c r="R59" s="92">
        <f ca="1" t="shared" si="31"/>
        <v>0</v>
      </c>
      <c r="S59" s="92">
        <f ca="1" t="shared" si="31"/>
        <v>0</v>
      </c>
      <c r="T59" s="92">
        <f ca="1" t="shared" si="31"/>
        <v>0</v>
      </c>
      <c r="U59" s="92">
        <f ca="1" t="shared" si="31"/>
        <v>0</v>
      </c>
      <c r="V59" s="92">
        <f ca="1" t="shared" si="31"/>
        <v>0</v>
      </c>
      <c r="W59" s="92">
        <f ca="1" t="shared" si="31"/>
        <v>0</v>
      </c>
      <c r="X59" s="92">
        <f ca="1" t="shared" si="31"/>
        <v>0</v>
      </c>
      <c r="Y59" s="92">
        <f ca="1" t="shared" si="31"/>
        <v>0</v>
      </c>
      <c r="Z59" s="92">
        <f ca="1" t="shared" si="32"/>
        <v>0</v>
      </c>
      <c r="AA59" s="92">
        <f ca="1" t="shared" si="32"/>
        <v>0</v>
      </c>
      <c r="AB59" s="92">
        <f ca="1" t="shared" si="32"/>
        <v>0</v>
      </c>
      <c r="AC59" s="92">
        <f ca="1" t="shared" si="32"/>
        <v>0</v>
      </c>
      <c r="AD59" s="92">
        <f ca="1" t="shared" si="32"/>
        <v>0</v>
      </c>
      <c r="AE59" s="92">
        <f ca="1" t="shared" si="32"/>
        <v>0</v>
      </c>
      <c r="AF59" s="92">
        <f ca="1" t="shared" si="32"/>
        <v>0</v>
      </c>
      <c r="AG59" s="92">
        <f ca="1" t="shared" si="32"/>
        <v>0</v>
      </c>
      <c r="AH59" s="92">
        <f ca="1" t="shared" si="32"/>
        <v>0</v>
      </c>
      <c r="AI59" s="92">
        <f ca="1" t="shared" si="32"/>
        <v>0</v>
      </c>
      <c r="AJ59" s="92">
        <f ca="1" t="shared" si="33"/>
        <v>0</v>
      </c>
      <c r="AK59" s="92">
        <f ca="1" t="shared" si="33"/>
        <v>0</v>
      </c>
      <c r="AL59" s="92">
        <f ca="1" t="shared" si="33"/>
        <v>0</v>
      </c>
      <c r="AM59" s="92">
        <f ca="1" t="shared" si="33"/>
        <v>0</v>
      </c>
      <c r="AN59" s="92">
        <f ca="1" t="shared" si="33"/>
        <v>0</v>
      </c>
      <c r="AO59" s="93">
        <f ca="1" t="shared" si="33"/>
        <v>0</v>
      </c>
    </row>
    <row r="60" spans="1:41" ht="12.75">
      <c r="A60" s="119">
        <f>IF(A59="","",IF(EOMONTH(A59,0)+1&gt;RunDat,"",EOMONTH(A59,0)+1))</f>
        <v>36069</v>
      </c>
      <c r="B60" s="120"/>
      <c r="C60" s="92"/>
      <c r="D60" s="92">
        <f t="shared" si="29"/>
        <v>20337</v>
      </c>
      <c r="E60" s="120"/>
      <c r="F60" s="92">
        <f ca="1" t="shared" si="30"/>
        <v>20337</v>
      </c>
      <c r="G60" s="92">
        <f ca="1" t="shared" si="30"/>
        <v>0</v>
      </c>
      <c r="H60" s="92">
        <f ca="1" t="shared" si="30"/>
        <v>0</v>
      </c>
      <c r="I60" s="92">
        <f ca="1" t="shared" si="30"/>
        <v>0</v>
      </c>
      <c r="J60" s="92">
        <f ca="1" t="shared" si="30"/>
        <v>0</v>
      </c>
      <c r="K60" s="92">
        <f ca="1" t="shared" si="30"/>
        <v>0</v>
      </c>
      <c r="L60" s="92">
        <f ca="1" t="shared" si="30"/>
        <v>0</v>
      </c>
      <c r="M60" s="92">
        <f ca="1" t="shared" si="30"/>
        <v>0</v>
      </c>
      <c r="N60" s="92">
        <f ca="1" t="shared" si="30"/>
        <v>0</v>
      </c>
      <c r="O60" s="92">
        <f ca="1" t="shared" si="30"/>
        <v>0</v>
      </c>
      <c r="P60" s="92">
        <f ca="1" t="shared" si="31"/>
        <v>0</v>
      </c>
      <c r="Q60" s="92">
        <f ca="1" t="shared" si="31"/>
        <v>0</v>
      </c>
      <c r="R60" s="92">
        <f ca="1" t="shared" si="31"/>
        <v>0</v>
      </c>
      <c r="S60" s="92">
        <f ca="1" t="shared" si="31"/>
        <v>0</v>
      </c>
      <c r="T60" s="92">
        <f ca="1" t="shared" si="31"/>
        <v>0</v>
      </c>
      <c r="U60" s="92">
        <f ca="1" t="shared" si="31"/>
        <v>0</v>
      </c>
      <c r="V60" s="92">
        <f ca="1" t="shared" si="31"/>
        <v>0</v>
      </c>
      <c r="W60" s="92">
        <f ca="1" t="shared" si="31"/>
        <v>0</v>
      </c>
      <c r="X60" s="92">
        <f ca="1" t="shared" si="31"/>
        <v>0</v>
      </c>
      <c r="Y60" s="92">
        <f ca="1" t="shared" si="31"/>
        <v>0</v>
      </c>
      <c r="Z60" s="92">
        <f ca="1" t="shared" si="32"/>
        <v>0</v>
      </c>
      <c r="AA60" s="92">
        <f ca="1" t="shared" si="32"/>
        <v>0</v>
      </c>
      <c r="AB60" s="92">
        <f ca="1" t="shared" si="32"/>
        <v>0</v>
      </c>
      <c r="AC60" s="92">
        <f ca="1" t="shared" si="32"/>
        <v>0</v>
      </c>
      <c r="AD60" s="92">
        <f ca="1" t="shared" si="32"/>
        <v>0</v>
      </c>
      <c r="AE60" s="92">
        <f ca="1" t="shared" si="32"/>
        <v>0</v>
      </c>
      <c r="AF60" s="92">
        <f ca="1" t="shared" si="32"/>
        <v>0</v>
      </c>
      <c r="AG60" s="92">
        <f ca="1" t="shared" si="32"/>
        <v>0</v>
      </c>
      <c r="AH60" s="92">
        <f ca="1" t="shared" si="32"/>
        <v>0</v>
      </c>
      <c r="AI60" s="92">
        <f ca="1" t="shared" si="32"/>
        <v>0</v>
      </c>
      <c r="AJ60" s="92">
        <f ca="1" t="shared" si="33"/>
        <v>0</v>
      </c>
      <c r="AK60" s="92">
        <f ca="1" t="shared" si="33"/>
        <v>0</v>
      </c>
      <c r="AL60" s="92">
        <f ca="1" t="shared" si="33"/>
        <v>0</v>
      </c>
      <c r="AM60" s="92">
        <f ca="1" t="shared" si="33"/>
        <v>0</v>
      </c>
      <c r="AN60" s="92">
        <f ca="1" t="shared" si="33"/>
        <v>0</v>
      </c>
      <c r="AO60" s="93">
        <f ca="1" t="shared" si="33"/>
        <v>0</v>
      </c>
    </row>
    <row r="61" spans="1:41" ht="12.75">
      <c r="A61" s="119">
        <f>IF(A60="","",IF(EOMONTH(A60,0)+1&gt;RunDat,"",EOMONTH(A60,0)+1))</f>
        <v>36100</v>
      </c>
      <c r="B61" s="120"/>
      <c r="C61" s="92"/>
      <c r="D61" s="92">
        <f t="shared" si="29"/>
        <v>216906</v>
      </c>
      <c r="E61" s="120"/>
      <c r="F61" s="92">
        <f ca="1" t="shared" si="30"/>
        <v>40479</v>
      </c>
      <c r="G61" s="92">
        <f ca="1" t="shared" si="30"/>
        <v>176427</v>
      </c>
      <c r="H61" s="92">
        <f ca="1" t="shared" si="30"/>
        <v>0</v>
      </c>
      <c r="I61" s="92">
        <f ca="1" t="shared" si="30"/>
        <v>0</v>
      </c>
      <c r="J61" s="92">
        <f ca="1" t="shared" si="30"/>
        <v>0</v>
      </c>
      <c r="K61" s="92">
        <f ca="1" t="shared" si="30"/>
        <v>0</v>
      </c>
      <c r="L61" s="92">
        <f ca="1" t="shared" si="30"/>
        <v>0</v>
      </c>
      <c r="M61" s="92">
        <f ca="1" t="shared" si="30"/>
        <v>0</v>
      </c>
      <c r="N61" s="92">
        <f ca="1" t="shared" si="30"/>
        <v>0</v>
      </c>
      <c r="O61" s="92">
        <f ca="1" t="shared" si="30"/>
        <v>0</v>
      </c>
      <c r="P61" s="92">
        <f ca="1" t="shared" si="31"/>
        <v>0</v>
      </c>
      <c r="Q61" s="92">
        <f ca="1" t="shared" si="31"/>
        <v>0</v>
      </c>
      <c r="R61" s="92">
        <f ca="1" t="shared" si="31"/>
        <v>0</v>
      </c>
      <c r="S61" s="92">
        <f ca="1" t="shared" si="31"/>
        <v>0</v>
      </c>
      <c r="T61" s="92">
        <f ca="1" t="shared" si="31"/>
        <v>0</v>
      </c>
      <c r="U61" s="92">
        <f ca="1" t="shared" si="31"/>
        <v>0</v>
      </c>
      <c r="V61" s="92">
        <f ca="1" t="shared" si="31"/>
        <v>0</v>
      </c>
      <c r="W61" s="92">
        <f ca="1" t="shared" si="31"/>
        <v>0</v>
      </c>
      <c r="X61" s="92">
        <f ca="1" t="shared" si="31"/>
        <v>0</v>
      </c>
      <c r="Y61" s="92">
        <f ca="1" t="shared" si="31"/>
        <v>0</v>
      </c>
      <c r="Z61" s="92">
        <f ca="1" t="shared" si="32"/>
        <v>0</v>
      </c>
      <c r="AA61" s="92">
        <f ca="1" t="shared" si="32"/>
        <v>0</v>
      </c>
      <c r="AB61" s="92">
        <f ca="1" t="shared" si="32"/>
        <v>0</v>
      </c>
      <c r="AC61" s="92">
        <f ca="1" t="shared" si="32"/>
        <v>0</v>
      </c>
      <c r="AD61" s="92">
        <f ca="1" t="shared" si="32"/>
        <v>0</v>
      </c>
      <c r="AE61" s="92">
        <f ca="1" t="shared" si="32"/>
        <v>0</v>
      </c>
      <c r="AF61" s="92">
        <f ca="1" t="shared" si="32"/>
        <v>0</v>
      </c>
      <c r="AG61" s="92">
        <f ca="1" t="shared" si="32"/>
        <v>0</v>
      </c>
      <c r="AH61" s="92">
        <f ca="1" t="shared" si="32"/>
        <v>0</v>
      </c>
      <c r="AI61" s="92">
        <f ca="1" t="shared" si="32"/>
        <v>0</v>
      </c>
      <c r="AJ61" s="92">
        <f ca="1" t="shared" si="33"/>
        <v>0</v>
      </c>
      <c r="AK61" s="92">
        <f ca="1" t="shared" si="33"/>
        <v>0</v>
      </c>
      <c r="AL61" s="92">
        <f ca="1" t="shared" si="33"/>
        <v>0</v>
      </c>
      <c r="AM61" s="92">
        <f ca="1" t="shared" si="33"/>
        <v>0</v>
      </c>
      <c r="AN61" s="92">
        <f ca="1" t="shared" si="33"/>
        <v>0</v>
      </c>
      <c r="AO61" s="93">
        <f ca="1" t="shared" si="33"/>
        <v>0</v>
      </c>
    </row>
    <row r="62" spans="1:41" ht="12.75">
      <c r="A62" s="119">
        <f>IF(A61="","",IF(EOMONTH(A61,0)+1&gt;RunDat,"",EOMONTH(A61,0)+1))</f>
        <v>36130</v>
      </c>
      <c r="B62" s="120"/>
      <c r="C62" s="121"/>
      <c r="D62" s="92">
        <f t="shared" si="29"/>
        <v>199817</v>
      </c>
      <c r="E62" s="120"/>
      <c r="F62" s="92">
        <f ca="1" t="shared" si="30"/>
        <v>15320</v>
      </c>
      <c r="G62" s="92">
        <f ca="1" t="shared" si="30"/>
        <v>159677</v>
      </c>
      <c r="H62" s="92">
        <f ca="1" t="shared" si="30"/>
        <v>24820</v>
      </c>
      <c r="I62" s="92">
        <f ca="1" t="shared" si="30"/>
        <v>0</v>
      </c>
      <c r="J62" s="92">
        <f ca="1" t="shared" si="30"/>
        <v>0</v>
      </c>
      <c r="K62" s="92">
        <f ca="1" t="shared" si="30"/>
        <v>0</v>
      </c>
      <c r="L62" s="92">
        <f ca="1" t="shared" si="30"/>
        <v>0</v>
      </c>
      <c r="M62" s="92">
        <f ca="1" t="shared" si="30"/>
        <v>0</v>
      </c>
      <c r="N62" s="92">
        <f ca="1" t="shared" si="30"/>
        <v>0</v>
      </c>
      <c r="O62" s="92">
        <f ca="1" t="shared" si="30"/>
        <v>0</v>
      </c>
      <c r="P62" s="92">
        <f ca="1" t="shared" si="31"/>
        <v>0</v>
      </c>
      <c r="Q62" s="92">
        <f ca="1" t="shared" si="31"/>
        <v>0</v>
      </c>
      <c r="R62" s="92">
        <f ca="1" t="shared" si="31"/>
        <v>0</v>
      </c>
      <c r="S62" s="92">
        <f ca="1" t="shared" si="31"/>
        <v>0</v>
      </c>
      <c r="T62" s="92">
        <f ca="1" t="shared" si="31"/>
        <v>0</v>
      </c>
      <c r="U62" s="92">
        <f ca="1" t="shared" si="31"/>
        <v>0</v>
      </c>
      <c r="V62" s="92">
        <f ca="1" t="shared" si="31"/>
        <v>0</v>
      </c>
      <c r="W62" s="92">
        <f ca="1" t="shared" si="31"/>
        <v>0</v>
      </c>
      <c r="X62" s="92">
        <f ca="1" t="shared" si="31"/>
        <v>0</v>
      </c>
      <c r="Y62" s="92">
        <f ca="1" t="shared" si="31"/>
        <v>0</v>
      </c>
      <c r="Z62" s="92">
        <f ca="1" t="shared" si="32"/>
        <v>0</v>
      </c>
      <c r="AA62" s="92">
        <f ca="1" t="shared" si="32"/>
        <v>0</v>
      </c>
      <c r="AB62" s="92">
        <f ca="1" t="shared" si="32"/>
        <v>0</v>
      </c>
      <c r="AC62" s="92">
        <f ca="1" t="shared" si="32"/>
        <v>0</v>
      </c>
      <c r="AD62" s="92">
        <f ca="1" t="shared" si="32"/>
        <v>0</v>
      </c>
      <c r="AE62" s="92">
        <f ca="1" t="shared" si="32"/>
        <v>0</v>
      </c>
      <c r="AF62" s="92">
        <f ca="1" t="shared" si="32"/>
        <v>0</v>
      </c>
      <c r="AG62" s="92">
        <f ca="1" t="shared" si="32"/>
        <v>0</v>
      </c>
      <c r="AH62" s="92">
        <f ca="1" t="shared" si="32"/>
        <v>0</v>
      </c>
      <c r="AI62" s="92">
        <f ca="1" t="shared" si="32"/>
        <v>0</v>
      </c>
      <c r="AJ62" s="92">
        <f ca="1" t="shared" si="33"/>
        <v>0</v>
      </c>
      <c r="AK62" s="92">
        <f ca="1" t="shared" si="33"/>
        <v>0</v>
      </c>
      <c r="AL62" s="92">
        <f ca="1" t="shared" si="33"/>
        <v>0</v>
      </c>
      <c r="AM62" s="92">
        <f ca="1" t="shared" si="33"/>
        <v>0</v>
      </c>
      <c r="AN62" s="92">
        <f ca="1" t="shared" si="33"/>
        <v>0</v>
      </c>
      <c r="AO62" s="93">
        <f ca="1" t="shared" si="33"/>
        <v>0</v>
      </c>
    </row>
    <row r="63" spans="1:41" ht="12.75">
      <c r="A63" s="119">
        <f>IF(A62="","",IF(EOMONTH(A62,0)+1&gt;RunDat,"",EOMONTH(A62,0)+1))</f>
        <v>36161</v>
      </c>
      <c r="B63" s="120"/>
      <c r="C63" s="121"/>
      <c r="D63" s="92">
        <f t="shared" si="29"/>
        <v>185807</v>
      </c>
      <c r="E63" s="120"/>
      <c r="F63" s="92">
        <f ca="1" t="shared" si="30"/>
        <v>55099</v>
      </c>
      <c r="G63" s="92">
        <f ca="1" t="shared" si="30"/>
        <v>109280</v>
      </c>
      <c r="H63" s="92">
        <f ca="1" t="shared" si="30"/>
        <v>21428</v>
      </c>
      <c r="I63" s="92">
        <f ca="1" t="shared" si="30"/>
        <v>0</v>
      </c>
      <c r="J63" s="92">
        <f ca="1" t="shared" si="30"/>
        <v>0</v>
      </c>
      <c r="K63" s="92">
        <f ca="1" t="shared" si="30"/>
        <v>0</v>
      </c>
      <c r="L63" s="92">
        <f ca="1" t="shared" si="30"/>
        <v>0</v>
      </c>
      <c r="M63" s="92">
        <f ca="1" t="shared" si="30"/>
        <v>0</v>
      </c>
      <c r="N63" s="92">
        <f ca="1" t="shared" si="30"/>
        <v>0</v>
      </c>
      <c r="O63" s="92">
        <f ca="1" t="shared" si="30"/>
        <v>0</v>
      </c>
      <c r="P63" s="92">
        <f ca="1" t="shared" si="31"/>
        <v>0</v>
      </c>
      <c r="Q63" s="92">
        <f ca="1" t="shared" si="31"/>
        <v>0</v>
      </c>
      <c r="R63" s="92">
        <f ca="1" t="shared" si="31"/>
        <v>0</v>
      </c>
      <c r="S63" s="92">
        <f ca="1" t="shared" si="31"/>
        <v>0</v>
      </c>
      <c r="T63" s="92">
        <f ca="1" t="shared" si="31"/>
        <v>0</v>
      </c>
      <c r="U63" s="92">
        <f ca="1" t="shared" si="31"/>
        <v>0</v>
      </c>
      <c r="V63" s="92">
        <f ca="1" t="shared" si="31"/>
        <v>0</v>
      </c>
      <c r="W63" s="92">
        <f ca="1" t="shared" si="31"/>
        <v>0</v>
      </c>
      <c r="X63" s="92">
        <f ca="1" t="shared" si="31"/>
        <v>0</v>
      </c>
      <c r="Y63" s="92">
        <f ca="1" t="shared" si="31"/>
        <v>0</v>
      </c>
      <c r="Z63" s="92">
        <f ca="1" t="shared" si="32"/>
        <v>0</v>
      </c>
      <c r="AA63" s="92">
        <f ca="1" t="shared" si="32"/>
        <v>0</v>
      </c>
      <c r="AB63" s="92">
        <f ca="1" t="shared" si="32"/>
        <v>0</v>
      </c>
      <c r="AC63" s="92">
        <f ca="1" t="shared" si="32"/>
        <v>0</v>
      </c>
      <c r="AD63" s="92">
        <f ca="1" t="shared" si="32"/>
        <v>0</v>
      </c>
      <c r="AE63" s="92">
        <f ca="1" t="shared" si="32"/>
        <v>0</v>
      </c>
      <c r="AF63" s="92">
        <f ca="1" t="shared" si="32"/>
        <v>0</v>
      </c>
      <c r="AG63" s="92">
        <f ca="1" t="shared" si="32"/>
        <v>0</v>
      </c>
      <c r="AH63" s="92">
        <f ca="1" t="shared" si="32"/>
        <v>0</v>
      </c>
      <c r="AI63" s="92">
        <f ca="1" t="shared" si="32"/>
        <v>0</v>
      </c>
      <c r="AJ63" s="92">
        <f ca="1" t="shared" si="33"/>
        <v>0</v>
      </c>
      <c r="AK63" s="92">
        <f ca="1" t="shared" si="33"/>
        <v>0</v>
      </c>
      <c r="AL63" s="92">
        <f ca="1" t="shared" si="33"/>
        <v>0</v>
      </c>
      <c r="AM63" s="92">
        <f ca="1" t="shared" si="33"/>
        <v>0</v>
      </c>
      <c r="AN63" s="92">
        <f ca="1" t="shared" si="33"/>
        <v>0</v>
      </c>
      <c r="AO63" s="93">
        <f ca="1" t="shared" si="33"/>
        <v>0</v>
      </c>
    </row>
    <row r="64" spans="1:41" ht="12.75">
      <c r="A64" s="119">
        <f>IF(A63="","",IF(EOMONTH(A63,0)+1&gt;RunDat,"",EOMONTH(A63,0)+1))</f>
        <v>36192</v>
      </c>
      <c r="B64" s="120"/>
      <c r="C64" s="121"/>
      <c r="D64" s="92">
        <f t="shared" si="29"/>
        <v>144004</v>
      </c>
      <c r="E64" s="120"/>
      <c r="F64" s="92">
        <f ca="1" t="shared" si="30"/>
        <v>724</v>
      </c>
      <c r="G64" s="92">
        <f ca="1" t="shared" si="30"/>
        <v>78962</v>
      </c>
      <c r="H64" s="92">
        <f ca="1" t="shared" si="30"/>
        <v>64318</v>
      </c>
      <c r="I64" s="92">
        <f ca="1" t="shared" si="30"/>
        <v>0</v>
      </c>
      <c r="J64" s="92">
        <f ca="1" t="shared" si="30"/>
        <v>0</v>
      </c>
      <c r="K64" s="92">
        <f ca="1" t="shared" si="30"/>
        <v>0</v>
      </c>
      <c r="L64" s="92">
        <f ca="1" t="shared" si="30"/>
        <v>0</v>
      </c>
      <c r="M64" s="92">
        <f ca="1" t="shared" si="30"/>
        <v>0</v>
      </c>
      <c r="N64" s="92">
        <f ca="1" t="shared" si="30"/>
        <v>0</v>
      </c>
      <c r="O64" s="92">
        <f ca="1" t="shared" si="30"/>
        <v>0</v>
      </c>
      <c r="P64" s="92">
        <f ca="1" t="shared" si="31"/>
        <v>0</v>
      </c>
      <c r="Q64" s="92">
        <f ca="1" t="shared" si="31"/>
        <v>0</v>
      </c>
      <c r="R64" s="92">
        <f ca="1" t="shared" si="31"/>
        <v>0</v>
      </c>
      <c r="S64" s="92">
        <f ca="1" t="shared" si="31"/>
        <v>0</v>
      </c>
      <c r="T64" s="92">
        <f ca="1" t="shared" si="31"/>
        <v>0</v>
      </c>
      <c r="U64" s="92">
        <f ca="1" t="shared" si="31"/>
        <v>0</v>
      </c>
      <c r="V64" s="92">
        <f ca="1" t="shared" si="31"/>
        <v>0</v>
      </c>
      <c r="W64" s="92">
        <f ca="1" t="shared" si="31"/>
        <v>0</v>
      </c>
      <c r="X64" s="92">
        <f ca="1" t="shared" si="31"/>
        <v>0</v>
      </c>
      <c r="Y64" s="92">
        <f ca="1" t="shared" si="31"/>
        <v>0</v>
      </c>
      <c r="Z64" s="92">
        <f ca="1" t="shared" si="32"/>
        <v>0</v>
      </c>
      <c r="AA64" s="92">
        <f ca="1" t="shared" si="32"/>
        <v>0</v>
      </c>
      <c r="AB64" s="92">
        <f ca="1" t="shared" si="32"/>
        <v>0</v>
      </c>
      <c r="AC64" s="92">
        <f ca="1" t="shared" si="32"/>
        <v>0</v>
      </c>
      <c r="AD64" s="92">
        <f ca="1" t="shared" si="32"/>
        <v>0</v>
      </c>
      <c r="AE64" s="92">
        <f ca="1" t="shared" si="32"/>
        <v>0</v>
      </c>
      <c r="AF64" s="92">
        <f ca="1" t="shared" si="32"/>
        <v>0</v>
      </c>
      <c r="AG64" s="92">
        <f ca="1" t="shared" si="32"/>
        <v>0</v>
      </c>
      <c r="AH64" s="92">
        <f ca="1" t="shared" si="32"/>
        <v>0</v>
      </c>
      <c r="AI64" s="92">
        <f ca="1" t="shared" si="32"/>
        <v>0</v>
      </c>
      <c r="AJ64" s="92">
        <f ca="1" t="shared" si="33"/>
        <v>0</v>
      </c>
      <c r="AK64" s="92">
        <f ca="1" t="shared" si="33"/>
        <v>0</v>
      </c>
      <c r="AL64" s="92">
        <f ca="1" t="shared" si="33"/>
        <v>0</v>
      </c>
      <c r="AM64" s="92">
        <f ca="1" t="shared" si="33"/>
        <v>0</v>
      </c>
      <c r="AN64" s="92">
        <f ca="1" t="shared" si="33"/>
        <v>0</v>
      </c>
      <c r="AO64" s="93">
        <f ca="1" t="shared" si="33"/>
        <v>0</v>
      </c>
    </row>
    <row r="65" spans="1:41" ht="12.75">
      <c r="A65" s="119">
        <f>IF(A64="","",IF(EOMONTH(A64,0)+1&gt;RunDat,"",EOMONTH(A64,0)+1))</f>
        <v>36220</v>
      </c>
      <c r="B65" s="120"/>
      <c r="C65" s="121"/>
      <c r="D65" s="92">
        <f t="shared" si="29"/>
        <v>162948</v>
      </c>
      <c r="E65" s="120"/>
      <c r="F65" s="92">
        <f ca="1" t="shared" si="30"/>
        <v>22541</v>
      </c>
      <c r="G65" s="92">
        <f ca="1" t="shared" si="30"/>
        <v>73514</v>
      </c>
      <c r="H65" s="92">
        <f ca="1" t="shared" si="30"/>
        <v>58105</v>
      </c>
      <c r="I65" s="92">
        <f ca="1" t="shared" si="30"/>
        <v>8788</v>
      </c>
      <c r="J65" s="92">
        <f ca="1" t="shared" si="30"/>
        <v>0</v>
      </c>
      <c r="K65" s="92">
        <f ca="1" t="shared" si="30"/>
        <v>0</v>
      </c>
      <c r="L65" s="92">
        <f ca="1" t="shared" si="30"/>
        <v>0</v>
      </c>
      <c r="M65" s="92">
        <f ca="1" t="shared" si="30"/>
        <v>0</v>
      </c>
      <c r="N65" s="92">
        <f ca="1" t="shared" si="30"/>
        <v>0</v>
      </c>
      <c r="O65" s="92">
        <f ca="1" t="shared" si="30"/>
        <v>0</v>
      </c>
      <c r="P65" s="92">
        <f ca="1" t="shared" si="31"/>
        <v>0</v>
      </c>
      <c r="Q65" s="92">
        <f ca="1" t="shared" si="31"/>
        <v>0</v>
      </c>
      <c r="R65" s="92">
        <f ca="1" t="shared" si="31"/>
        <v>0</v>
      </c>
      <c r="S65" s="92">
        <f ca="1" t="shared" si="31"/>
        <v>0</v>
      </c>
      <c r="T65" s="92">
        <f ca="1" t="shared" si="31"/>
        <v>0</v>
      </c>
      <c r="U65" s="92">
        <f ca="1" t="shared" si="31"/>
        <v>0</v>
      </c>
      <c r="V65" s="92">
        <f ca="1" t="shared" si="31"/>
        <v>0</v>
      </c>
      <c r="W65" s="92">
        <f ca="1" t="shared" si="31"/>
        <v>0</v>
      </c>
      <c r="X65" s="92">
        <f ca="1" t="shared" si="31"/>
        <v>0</v>
      </c>
      <c r="Y65" s="92">
        <f ca="1" t="shared" si="31"/>
        <v>0</v>
      </c>
      <c r="Z65" s="92">
        <f ca="1" t="shared" si="32"/>
        <v>0</v>
      </c>
      <c r="AA65" s="92">
        <f ca="1" t="shared" si="32"/>
        <v>0</v>
      </c>
      <c r="AB65" s="92">
        <f ca="1" t="shared" si="32"/>
        <v>0</v>
      </c>
      <c r="AC65" s="92">
        <f ca="1" t="shared" si="32"/>
        <v>0</v>
      </c>
      <c r="AD65" s="92">
        <f ca="1" t="shared" si="32"/>
        <v>0</v>
      </c>
      <c r="AE65" s="92">
        <f ca="1" t="shared" si="32"/>
        <v>0</v>
      </c>
      <c r="AF65" s="92">
        <f ca="1" t="shared" si="32"/>
        <v>0</v>
      </c>
      <c r="AG65" s="92">
        <f ca="1" t="shared" si="32"/>
        <v>0</v>
      </c>
      <c r="AH65" s="92">
        <f ca="1" t="shared" si="32"/>
        <v>0</v>
      </c>
      <c r="AI65" s="92">
        <f ca="1" t="shared" si="32"/>
        <v>0</v>
      </c>
      <c r="AJ65" s="92">
        <f ca="1" t="shared" si="33"/>
        <v>0</v>
      </c>
      <c r="AK65" s="92">
        <f ca="1" t="shared" si="33"/>
        <v>0</v>
      </c>
      <c r="AL65" s="92">
        <f ca="1" t="shared" si="33"/>
        <v>0</v>
      </c>
      <c r="AM65" s="92">
        <f ca="1" t="shared" si="33"/>
        <v>0</v>
      </c>
      <c r="AN65" s="92">
        <f ca="1" t="shared" si="33"/>
        <v>0</v>
      </c>
      <c r="AO65" s="93">
        <f ca="1" t="shared" si="33"/>
        <v>0</v>
      </c>
    </row>
    <row r="66" spans="1:41" ht="12.75">
      <c r="A66" s="119">
        <f>IF(A65="","",IF(EOMONTH(A65,0)+1&gt;RunDat,"",EOMONTH(A65,0)+1))</f>
        <v>36251</v>
      </c>
      <c r="B66" s="120"/>
      <c r="C66" s="121"/>
      <c r="D66" s="92">
        <f t="shared" si="29"/>
        <v>243415</v>
      </c>
      <c r="E66" s="120"/>
      <c r="F66" s="92">
        <f ca="1" t="shared" si="30"/>
        <v>13576</v>
      </c>
      <c r="G66" s="92">
        <f ca="1" t="shared" si="30"/>
        <v>122603</v>
      </c>
      <c r="H66" s="92">
        <f ca="1" t="shared" si="30"/>
        <v>100846</v>
      </c>
      <c r="I66" s="92">
        <f ca="1" t="shared" si="30"/>
        <v>5540</v>
      </c>
      <c r="J66" s="92">
        <f ca="1" t="shared" si="30"/>
        <v>850</v>
      </c>
      <c r="K66" s="92">
        <f ca="1" t="shared" si="30"/>
        <v>0</v>
      </c>
      <c r="L66" s="92">
        <f ca="1" t="shared" si="30"/>
        <v>0</v>
      </c>
      <c r="M66" s="92">
        <f ca="1" t="shared" si="30"/>
        <v>0</v>
      </c>
      <c r="N66" s="92">
        <f ca="1" t="shared" si="30"/>
        <v>0</v>
      </c>
      <c r="O66" s="92">
        <f ca="1" t="shared" si="30"/>
        <v>0</v>
      </c>
      <c r="P66" s="92">
        <f ca="1" t="shared" si="31"/>
        <v>0</v>
      </c>
      <c r="Q66" s="92">
        <f ca="1" t="shared" si="31"/>
        <v>0</v>
      </c>
      <c r="R66" s="92">
        <f ca="1" t="shared" si="31"/>
        <v>0</v>
      </c>
      <c r="S66" s="92">
        <f ca="1" t="shared" si="31"/>
        <v>0</v>
      </c>
      <c r="T66" s="92">
        <f ca="1" t="shared" si="31"/>
        <v>0</v>
      </c>
      <c r="U66" s="92">
        <f ca="1" t="shared" si="31"/>
        <v>0</v>
      </c>
      <c r="V66" s="92">
        <f ca="1" t="shared" si="31"/>
        <v>0</v>
      </c>
      <c r="W66" s="92">
        <f ca="1" t="shared" si="31"/>
        <v>0</v>
      </c>
      <c r="X66" s="92">
        <f ca="1" t="shared" si="31"/>
        <v>0</v>
      </c>
      <c r="Y66" s="92">
        <f ca="1" t="shared" si="31"/>
        <v>0</v>
      </c>
      <c r="Z66" s="92">
        <f ca="1" t="shared" si="32"/>
        <v>0</v>
      </c>
      <c r="AA66" s="92">
        <f ca="1" t="shared" si="32"/>
        <v>0</v>
      </c>
      <c r="AB66" s="92">
        <f ca="1" t="shared" si="32"/>
        <v>0</v>
      </c>
      <c r="AC66" s="92">
        <f ca="1" t="shared" si="32"/>
        <v>0</v>
      </c>
      <c r="AD66" s="92">
        <f ca="1" t="shared" si="32"/>
        <v>0</v>
      </c>
      <c r="AE66" s="92">
        <f ca="1" t="shared" si="32"/>
        <v>0</v>
      </c>
      <c r="AF66" s="92">
        <f ca="1" t="shared" si="32"/>
        <v>0</v>
      </c>
      <c r="AG66" s="92">
        <f ca="1" t="shared" si="32"/>
        <v>0</v>
      </c>
      <c r="AH66" s="92">
        <f ca="1" t="shared" si="32"/>
        <v>0</v>
      </c>
      <c r="AI66" s="92">
        <f ca="1" t="shared" si="32"/>
        <v>0</v>
      </c>
      <c r="AJ66" s="92">
        <f ca="1" t="shared" si="33"/>
        <v>0</v>
      </c>
      <c r="AK66" s="92">
        <f ca="1" t="shared" si="33"/>
        <v>0</v>
      </c>
      <c r="AL66" s="92">
        <f ca="1" t="shared" si="33"/>
        <v>0</v>
      </c>
      <c r="AM66" s="92">
        <f ca="1" t="shared" si="33"/>
        <v>0</v>
      </c>
      <c r="AN66" s="92">
        <f ca="1" t="shared" si="33"/>
        <v>0</v>
      </c>
      <c r="AO66" s="93">
        <f ca="1" t="shared" si="33"/>
        <v>0</v>
      </c>
    </row>
    <row r="67" spans="1:41" ht="12.75">
      <c r="A67" s="119">
        <f>IF(A66="","",IF(EOMONTH(A66,0)+1&gt;RunDat,"",EOMONTH(A66,0)+1))</f>
        <v>36281</v>
      </c>
      <c r="B67" s="120"/>
      <c r="C67" s="121"/>
      <c r="D67" s="92">
        <f t="shared" si="29"/>
        <v>169481</v>
      </c>
      <c r="E67" s="120"/>
      <c r="F67" s="92">
        <f ca="1" t="shared" si="30"/>
        <v>33308</v>
      </c>
      <c r="G67" s="92">
        <f ca="1" t="shared" si="30"/>
        <v>98490</v>
      </c>
      <c r="H67" s="92">
        <f ca="1" t="shared" si="30"/>
        <v>33881</v>
      </c>
      <c r="I67" s="92">
        <f ca="1" t="shared" si="30"/>
        <v>2952</v>
      </c>
      <c r="J67" s="92">
        <f ca="1" t="shared" si="30"/>
        <v>850</v>
      </c>
      <c r="K67" s="92">
        <f ca="1" t="shared" si="30"/>
        <v>0</v>
      </c>
      <c r="L67" s="92">
        <f ca="1" t="shared" si="30"/>
        <v>0</v>
      </c>
      <c r="M67" s="92">
        <f ca="1" t="shared" si="30"/>
        <v>0</v>
      </c>
      <c r="N67" s="92">
        <f ca="1" t="shared" si="30"/>
        <v>0</v>
      </c>
      <c r="O67" s="92">
        <f ca="1" t="shared" si="30"/>
        <v>0</v>
      </c>
      <c r="P67" s="92">
        <f ca="1" t="shared" si="31"/>
        <v>0</v>
      </c>
      <c r="Q67" s="92">
        <f ca="1" t="shared" si="31"/>
        <v>0</v>
      </c>
      <c r="R67" s="92">
        <f ca="1" t="shared" si="31"/>
        <v>0</v>
      </c>
      <c r="S67" s="92">
        <f ca="1" t="shared" si="31"/>
        <v>0</v>
      </c>
      <c r="T67" s="92">
        <f ca="1" t="shared" si="31"/>
        <v>0</v>
      </c>
      <c r="U67" s="92">
        <f ca="1" t="shared" si="31"/>
        <v>0</v>
      </c>
      <c r="V67" s="92">
        <f ca="1" t="shared" si="31"/>
        <v>0</v>
      </c>
      <c r="W67" s="92">
        <f ca="1" t="shared" si="31"/>
        <v>0</v>
      </c>
      <c r="X67" s="92">
        <f ca="1" t="shared" si="31"/>
        <v>0</v>
      </c>
      <c r="Y67" s="92">
        <f ca="1" t="shared" si="31"/>
        <v>0</v>
      </c>
      <c r="Z67" s="92">
        <f ca="1" t="shared" si="32"/>
        <v>0</v>
      </c>
      <c r="AA67" s="92">
        <f ca="1" t="shared" si="32"/>
        <v>0</v>
      </c>
      <c r="AB67" s="92">
        <f ca="1" t="shared" si="32"/>
        <v>0</v>
      </c>
      <c r="AC67" s="92">
        <f ca="1" t="shared" si="32"/>
        <v>0</v>
      </c>
      <c r="AD67" s="92">
        <f ca="1" t="shared" si="32"/>
        <v>0</v>
      </c>
      <c r="AE67" s="92">
        <f ca="1" t="shared" si="32"/>
        <v>0</v>
      </c>
      <c r="AF67" s="92">
        <f ca="1" t="shared" si="32"/>
        <v>0</v>
      </c>
      <c r="AG67" s="92">
        <f ca="1" t="shared" si="32"/>
        <v>0</v>
      </c>
      <c r="AH67" s="92">
        <f ca="1" t="shared" si="32"/>
        <v>0</v>
      </c>
      <c r="AI67" s="92">
        <f ca="1" t="shared" si="32"/>
        <v>0</v>
      </c>
      <c r="AJ67" s="92">
        <f ca="1" t="shared" si="33"/>
        <v>0</v>
      </c>
      <c r="AK67" s="92">
        <f ca="1" t="shared" si="33"/>
        <v>0</v>
      </c>
      <c r="AL67" s="92">
        <f ca="1" t="shared" si="33"/>
        <v>0</v>
      </c>
      <c r="AM67" s="92">
        <f ca="1" t="shared" si="33"/>
        <v>0</v>
      </c>
      <c r="AN67" s="92">
        <f ca="1" t="shared" si="33"/>
        <v>0</v>
      </c>
      <c r="AO67" s="93">
        <f ca="1" t="shared" si="33"/>
        <v>0</v>
      </c>
    </row>
    <row r="68" spans="1:41" ht="12.75">
      <c r="A68" s="119">
        <f>IF(A67="","",IF(EOMONTH(A67,0)+1&gt;RunDat,"",EOMONTH(A67,0)+1))</f>
        <v>36312</v>
      </c>
      <c r="B68" s="120"/>
      <c r="C68" s="121"/>
      <c r="D68" s="92">
        <f t="shared" si="29"/>
        <v>193309</v>
      </c>
      <c r="E68" s="120"/>
      <c r="F68" s="92">
        <f aca="true" ca="1" t="shared" si="34" ref="F68:O77">IF($A68="","",IF(OR(F$8&lt;=ROUND(DAYS360(ValDat,$A68,0)/30,0),F$8&gt;ROUND(DAYS360(ExpDat,$A68,0)/30,0)),0,OFFSET(F$45,MAX(-MNR,ROUND(DAYS360(ValDat,$A68,0)/30,0)-F$8+MEP-MNR),0,1,1)))</f>
        <v>6555</v>
      </c>
      <c r="G68" s="92">
        <f ca="1" t="shared" si="34"/>
        <v>90083</v>
      </c>
      <c r="H68" s="92">
        <f ca="1" t="shared" si="34"/>
        <v>88390</v>
      </c>
      <c r="I68" s="92">
        <f ca="1" t="shared" si="34"/>
        <v>1847</v>
      </c>
      <c r="J68" s="92">
        <f ca="1" t="shared" si="34"/>
        <v>6434</v>
      </c>
      <c r="K68" s="92">
        <f ca="1" t="shared" si="34"/>
        <v>0</v>
      </c>
      <c r="L68" s="92">
        <f ca="1" t="shared" si="34"/>
        <v>0</v>
      </c>
      <c r="M68" s="92">
        <f ca="1" t="shared" si="34"/>
        <v>0</v>
      </c>
      <c r="N68" s="92">
        <f ca="1" t="shared" si="34"/>
        <v>0</v>
      </c>
      <c r="O68" s="92">
        <f ca="1" t="shared" si="34"/>
        <v>0</v>
      </c>
      <c r="P68" s="92">
        <f aca="true" ca="1" t="shared" si="35" ref="P68:Y77">IF($A68="","",IF(OR(P$8&lt;=ROUND(DAYS360(ValDat,$A68,0)/30,0),P$8&gt;ROUND(DAYS360(ExpDat,$A68,0)/30,0)),0,OFFSET(P$45,MAX(-MNR,ROUND(DAYS360(ValDat,$A68,0)/30,0)-P$8+MEP-MNR),0,1,1)))</f>
        <v>0</v>
      </c>
      <c r="Q68" s="92">
        <f ca="1" t="shared" si="35"/>
        <v>0</v>
      </c>
      <c r="R68" s="92">
        <f ca="1" t="shared" si="35"/>
        <v>0</v>
      </c>
      <c r="S68" s="92">
        <f ca="1" t="shared" si="35"/>
        <v>0</v>
      </c>
      <c r="T68" s="92">
        <f ca="1" t="shared" si="35"/>
        <v>0</v>
      </c>
      <c r="U68" s="92">
        <f ca="1" t="shared" si="35"/>
        <v>0</v>
      </c>
      <c r="V68" s="92">
        <f ca="1" t="shared" si="35"/>
        <v>0</v>
      </c>
      <c r="W68" s="92">
        <f ca="1" t="shared" si="35"/>
        <v>0</v>
      </c>
      <c r="X68" s="92">
        <f ca="1" t="shared" si="35"/>
        <v>0</v>
      </c>
      <c r="Y68" s="92">
        <f ca="1" t="shared" si="35"/>
        <v>0</v>
      </c>
      <c r="Z68" s="92">
        <f aca="true" ca="1" t="shared" si="36" ref="Z68:AI77">IF($A68="","",IF(OR(Z$8&lt;=ROUND(DAYS360(ValDat,$A68,0)/30,0),Z$8&gt;ROUND(DAYS360(ExpDat,$A68,0)/30,0)),0,OFFSET(Z$45,MAX(-MNR,ROUND(DAYS360(ValDat,$A68,0)/30,0)-Z$8+MEP-MNR),0,1,1)))</f>
        <v>0</v>
      </c>
      <c r="AA68" s="92">
        <f ca="1" t="shared" si="36"/>
        <v>0</v>
      </c>
      <c r="AB68" s="92">
        <f ca="1" t="shared" si="36"/>
        <v>0</v>
      </c>
      <c r="AC68" s="92">
        <f ca="1" t="shared" si="36"/>
        <v>0</v>
      </c>
      <c r="AD68" s="92">
        <f ca="1" t="shared" si="36"/>
        <v>0</v>
      </c>
      <c r="AE68" s="92">
        <f ca="1" t="shared" si="36"/>
        <v>0</v>
      </c>
      <c r="AF68" s="92">
        <f ca="1" t="shared" si="36"/>
        <v>0</v>
      </c>
      <c r="AG68" s="92">
        <f ca="1" t="shared" si="36"/>
        <v>0</v>
      </c>
      <c r="AH68" s="92">
        <f ca="1" t="shared" si="36"/>
        <v>0</v>
      </c>
      <c r="AI68" s="92">
        <f ca="1" t="shared" si="36"/>
        <v>0</v>
      </c>
      <c r="AJ68" s="92">
        <f aca="true" ca="1" t="shared" si="37" ref="AJ68:AO77">IF($A68="","",IF(OR(AJ$8&lt;=ROUND(DAYS360(ValDat,$A68,0)/30,0),AJ$8&gt;ROUND(DAYS360(ExpDat,$A68,0)/30,0)),0,OFFSET(AJ$45,MAX(-MNR,ROUND(DAYS360(ValDat,$A68,0)/30,0)-AJ$8+MEP-MNR),0,1,1)))</f>
        <v>0</v>
      </c>
      <c r="AK68" s="92">
        <f ca="1" t="shared" si="37"/>
        <v>0</v>
      </c>
      <c r="AL68" s="92">
        <f ca="1" t="shared" si="37"/>
        <v>0</v>
      </c>
      <c r="AM68" s="92">
        <f ca="1" t="shared" si="37"/>
        <v>0</v>
      </c>
      <c r="AN68" s="92">
        <f ca="1" t="shared" si="37"/>
        <v>0</v>
      </c>
      <c r="AO68" s="93">
        <f ca="1" t="shared" si="37"/>
        <v>0</v>
      </c>
    </row>
    <row r="69" spans="1:41" ht="12.75">
      <c r="A69" s="119">
        <f>IF(A68="","",IF(EOMONTH(A68,0)+1&gt;RunDat,"",EOMONTH(A68,0)+1))</f>
        <v>36342</v>
      </c>
      <c r="B69" s="120"/>
      <c r="C69" s="121"/>
      <c r="D69" s="92">
        <f t="shared" si="29"/>
        <v>325214</v>
      </c>
      <c r="E69" s="120"/>
      <c r="F69" s="92">
        <f ca="1" t="shared" si="34"/>
        <v>57812</v>
      </c>
      <c r="G69" s="92">
        <f ca="1" t="shared" si="34"/>
        <v>111208</v>
      </c>
      <c r="H69" s="92">
        <f ca="1" t="shared" si="34"/>
        <v>107509</v>
      </c>
      <c r="I69" s="92">
        <f ca="1" t="shared" si="34"/>
        <v>43589</v>
      </c>
      <c r="J69" s="92">
        <f ca="1" t="shared" si="34"/>
        <v>3742</v>
      </c>
      <c r="K69" s="92">
        <f ca="1" t="shared" si="34"/>
        <v>1354</v>
      </c>
      <c r="L69" s="92">
        <f ca="1" t="shared" si="34"/>
        <v>0</v>
      </c>
      <c r="M69" s="92">
        <f ca="1" t="shared" si="34"/>
        <v>0</v>
      </c>
      <c r="N69" s="92">
        <f ca="1" t="shared" si="34"/>
        <v>0</v>
      </c>
      <c r="O69" s="92">
        <f ca="1" t="shared" si="34"/>
        <v>0</v>
      </c>
      <c r="P69" s="92">
        <f ca="1" t="shared" si="35"/>
        <v>0</v>
      </c>
      <c r="Q69" s="92">
        <f ca="1" t="shared" si="35"/>
        <v>0</v>
      </c>
      <c r="R69" s="92">
        <f ca="1" t="shared" si="35"/>
        <v>0</v>
      </c>
      <c r="S69" s="92">
        <f ca="1" t="shared" si="35"/>
        <v>0</v>
      </c>
      <c r="T69" s="92">
        <f ca="1" t="shared" si="35"/>
        <v>0</v>
      </c>
      <c r="U69" s="92">
        <f ca="1" t="shared" si="35"/>
        <v>0</v>
      </c>
      <c r="V69" s="92">
        <f ca="1" t="shared" si="35"/>
        <v>0</v>
      </c>
      <c r="W69" s="92">
        <f ca="1" t="shared" si="35"/>
        <v>0</v>
      </c>
      <c r="X69" s="92">
        <f ca="1" t="shared" si="35"/>
        <v>0</v>
      </c>
      <c r="Y69" s="92">
        <f ca="1" t="shared" si="35"/>
        <v>0</v>
      </c>
      <c r="Z69" s="92">
        <f ca="1" t="shared" si="36"/>
        <v>0</v>
      </c>
      <c r="AA69" s="92">
        <f ca="1" t="shared" si="36"/>
        <v>0</v>
      </c>
      <c r="AB69" s="92">
        <f ca="1" t="shared" si="36"/>
        <v>0</v>
      </c>
      <c r="AC69" s="92">
        <f ca="1" t="shared" si="36"/>
        <v>0</v>
      </c>
      <c r="AD69" s="92">
        <f ca="1" t="shared" si="36"/>
        <v>0</v>
      </c>
      <c r="AE69" s="92">
        <f ca="1" t="shared" si="36"/>
        <v>0</v>
      </c>
      <c r="AF69" s="92">
        <f ca="1" t="shared" si="36"/>
        <v>0</v>
      </c>
      <c r="AG69" s="92">
        <f ca="1" t="shared" si="36"/>
        <v>0</v>
      </c>
      <c r="AH69" s="92">
        <f ca="1" t="shared" si="36"/>
        <v>0</v>
      </c>
      <c r="AI69" s="92">
        <f ca="1" t="shared" si="36"/>
        <v>0</v>
      </c>
      <c r="AJ69" s="92">
        <f ca="1" t="shared" si="37"/>
        <v>0</v>
      </c>
      <c r="AK69" s="92">
        <f ca="1" t="shared" si="37"/>
        <v>0</v>
      </c>
      <c r="AL69" s="92">
        <f ca="1" t="shared" si="37"/>
        <v>0</v>
      </c>
      <c r="AM69" s="92">
        <f ca="1" t="shared" si="37"/>
        <v>0</v>
      </c>
      <c r="AN69" s="92">
        <f ca="1" t="shared" si="37"/>
        <v>0</v>
      </c>
      <c r="AO69" s="93">
        <f ca="1" t="shared" si="37"/>
        <v>0</v>
      </c>
    </row>
    <row r="70" spans="1:41" ht="12.75">
      <c r="A70" s="119">
        <f>IF(A69="","",IF(EOMONTH(A69,0)+1&gt;RunDat,"",EOMONTH(A69,0)+1))</f>
        <v>36373</v>
      </c>
      <c r="B70" s="120"/>
      <c r="C70" s="121"/>
      <c r="D70" s="92">
        <f t="shared" si="29"/>
        <v>155277</v>
      </c>
      <c r="E70" s="120"/>
      <c r="F70" s="92">
        <f ca="1" t="shared" si="34"/>
        <v>17973</v>
      </c>
      <c r="G70" s="92">
        <f ca="1" t="shared" si="34"/>
        <v>73515</v>
      </c>
      <c r="H70" s="92">
        <f ca="1" t="shared" si="34"/>
        <v>44850</v>
      </c>
      <c r="I70" s="92">
        <f ca="1" t="shared" si="34"/>
        <v>13397</v>
      </c>
      <c r="J70" s="92">
        <f ca="1" t="shared" si="34"/>
        <v>3662</v>
      </c>
      <c r="K70" s="92">
        <f ca="1" t="shared" si="34"/>
        <v>1210</v>
      </c>
      <c r="L70" s="92">
        <f ca="1" t="shared" si="34"/>
        <v>670</v>
      </c>
      <c r="M70" s="92">
        <f ca="1" t="shared" si="34"/>
        <v>0</v>
      </c>
      <c r="N70" s="92">
        <f ca="1" t="shared" si="34"/>
        <v>0</v>
      </c>
      <c r="O70" s="92">
        <f ca="1" t="shared" si="34"/>
        <v>0</v>
      </c>
      <c r="P70" s="92">
        <f ca="1" t="shared" si="35"/>
        <v>0</v>
      </c>
      <c r="Q70" s="92">
        <f ca="1" t="shared" si="35"/>
        <v>0</v>
      </c>
      <c r="R70" s="92">
        <f ca="1" t="shared" si="35"/>
        <v>0</v>
      </c>
      <c r="S70" s="92">
        <f ca="1" t="shared" si="35"/>
        <v>0</v>
      </c>
      <c r="T70" s="92">
        <f ca="1" t="shared" si="35"/>
        <v>0</v>
      </c>
      <c r="U70" s="92">
        <f ca="1" t="shared" si="35"/>
        <v>0</v>
      </c>
      <c r="V70" s="92">
        <f ca="1" t="shared" si="35"/>
        <v>0</v>
      </c>
      <c r="W70" s="92">
        <f ca="1" t="shared" si="35"/>
        <v>0</v>
      </c>
      <c r="X70" s="92">
        <f ca="1" t="shared" si="35"/>
        <v>0</v>
      </c>
      <c r="Y70" s="92">
        <f ca="1" t="shared" si="35"/>
        <v>0</v>
      </c>
      <c r="Z70" s="92">
        <f ca="1" t="shared" si="36"/>
        <v>0</v>
      </c>
      <c r="AA70" s="92">
        <f ca="1" t="shared" si="36"/>
        <v>0</v>
      </c>
      <c r="AB70" s="92">
        <f ca="1" t="shared" si="36"/>
        <v>0</v>
      </c>
      <c r="AC70" s="92">
        <f ca="1" t="shared" si="36"/>
        <v>0</v>
      </c>
      <c r="AD70" s="92">
        <f ca="1" t="shared" si="36"/>
        <v>0</v>
      </c>
      <c r="AE70" s="92">
        <f ca="1" t="shared" si="36"/>
        <v>0</v>
      </c>
      <c r="AF70" s="92">
        <f ca="1" t="shared" si="36"/>
        <v>0</v>
      </c>
      <c r="AG70" s="92">
        <f ca="1" t="shared" si="36"/>
        <v>0</v>
      </c>
      <c r="AH70" s="92">
        <f ca="1" t="shared" si="36"/>
        <v>0</v>
      </c>
      <c r="AI70" s="92">
        <f ca="1" t="shared" si="36"/>
        <v>0</v>
      </c>
      <c r="AJ70" s="92">
        <f ca="1" t="shared" si="37"/>
        <v>0</v>
      </c>
      <c r="AK70" s="92">
        <f ca="1" t="shared" si="37"/>
        <v>0</v>
      </c>
      <c r="AL70" s="92">
        <f ca="1" t="shared" si="37"/>
        <v>0</v>
      </c>
      <c r="AM70" s="92">
        <f ca="1" t="shared" si="37"/>
        <v>0</v>
      </c>
      <c r="AN70" s="92">
        <f ca="1" t="shared" si="37"/>
        <v>0</v>
      </c>
      <c r="AO70" s="93">
        <f ca="1" t="shared" si="37"/>
        <v>0</v>
      </c>
    </row>
    <row r="71" spans="1:41" ht="12.75">
      <c r="A71" s="119">
        <f>IF(A70="","",IF(EOMONTH(A70,0)+1&gt;RunDat,"",EOMONTH(A70,0)+1))</f>
        <v>36404</v>
      </c>
      <c r="B71" s="120"/>
      <c r="C71" s="121"/>
      <c r="D71" s="92">
        <f t="shared" si="29"/>
        <v>207559</v>
      </c>
      <c r="E71" s="120"/>
      <c r="F71" s="92">
        <f ca="1" t="shared" si="34"/>
        <v>35600</v>
      </c>
      <c r="G71" s="92">
        <f ca="1" t="shared" si="34"/>
        <v>92380</v>
      </c>
      <c r="H71" s="92">
        <f ca="1" t="shared" si="34"/>
        <v>57928</v>
      </c>
      <c r="I71" s="92">
        <f ca="1" t="shared" si="34"/>
        <v>15516</v>
      </c>
      <c r="J71" s="92">
        <f ca="1" t="shared" si="34"/>
        <v>3572</v>
      </c>
      <c r="K71" s="92">
        <f ca="1" t="shared" si="34"/>
        <v>1893</v>
      </c>
      <c r="L71" s="92">
        <f ca="1" t="shared" si="34"/>
        <v>670</v>
      </c>
      <c r="M71" s="92">
        <f ca="1" t="shared" si="34"/>
        <v>0</v>
      </c>
      <c r="N71" s="92">
        <f ca="1" t="shared" si="34"/>
        <v>0</v>
      </c>
      <c r="O71" s="92">
        <f ca="1" t="shared" si="34"/>
        <v>0</v>
      </c>
      <c r="P71" s="92">
        <f ca="1" t="shared" si="35"/>
        <v>0</v>
      </c>
      <c r="Q71" s="92">
        <f ca="1" t="shared" si="35"/>
        <v>0</v>
      </c>
      <c r="R71" s="92">
        <f ca="1" t="shared" si="35"/>
        <v>0</v>
      </c>
      <c r="S71" s="92">
        <f ca="1" t="shared" si="35"/>
        <v>0</v>
      </c>
      <c r="T71" s="92">
        <f ca="1" t="shared" si="35"/>
        <v>0</v>
      </c>
      <c r="U71" s="92">
        <f ca="1" t="shared" si="35"/>
        <v>0</v>
      </c>
      <c r="V71" s="92">
        <f ca="1" t="shared" si="35"/>
        <v>0</v>
      </c>
      <c r="W71" s="92">
        <f ca="1" t="shared" si="35"/>
        <v>0</v>
      </c>
      <c r="X71" s="92">
        <f ca="1" t="shared" si="35"/>
        <v>0</v>
      </c>
      <c r="Y71" s="92">
        <f ca="1" t="shared" si="35"/>
        <v>0</v>
      </c>
      <c r="Z71" s="92">
        <f ca="1" t="shared" si="36"/>
        <v>0</v>
      </c>
      <c r="AA71" s="92">
        <f ca="1" t="shared" si="36"/>
        <v>0</v>
      </c>
      <c r="AB71" s="92">
        <f ca="1" t="shared" si="36"/>
        <v>0</v>
      </c>
      <c r="AC71" s="92">
        <f ca="1" t="shared" si="36"/>
        <v>0</v>
      </c>
      <c r="AD71" s="92">
        <f ca="1" t="shared" si="36"/>
        <v>0</v>
      </c>
      <c r="AE71" s="92">
        <f ca="1" t="shared" si="36"/>
        <v>0</v>
      </c>
      <c r="AF71" s="92">
        <f ca="1" t="shared" si="36"/>
        <v>0</v>
      </c>
      <c r="AG71" s="92">
        <f ca="1" t="shared" si="36"/>
        <v>0</v>
      </c>
      <c r="AH71" s="92">
        <f ca="1" t="shared" si="36"/>
        <v>0</v>
      </c>
      <c r="AI71" s="92">
        <f ca="1" t="shared" si="36"/>
        <v>0</v>
      </c>
      <c r="AJ71" s="92">
        <f ca="1" t="shared" si="37"/>
        <v>0</v>
      </c>
      <c r="AK71" s="92">
        <f ca="1" t="shared" si="37"/>
        <v>0</v>
      </c>
      <c r="AL71" s="92">
        <f ca="1" t="shared" si="37"/>
        <v>0</v>
      </c>
      <c r="AM71" s="92">
        <f ca="1" t="shared" si="37"/>
        <v>0</v>
      </c>
      <c r="AN71" s="92">
        <f ca="1" t="shared" si="37"/>
        <v>0</v>
      </c>
      <c r="AO71" s="93">
        <f ca="1" t="shared" si="37"/>
        <v>0</v>
      </c>
    </row>
    <row r="72" spans="1:41" ht="12.75">
      <c r="A72" s="119">
        <f>IF(A71="","",IF(EOMONTH(A71,0)+1&gt;RunDat,"",EOMONTH(A71,0)+1))</f>
        <v>36434</v>
      </c>
      <c r="B72" s="120"/>
      <c r="C72" s="121"/>
      <c r="D72" s="92">
        <f t="shared" si="29"/>
        <v>160501</v>
      </c>
      <c r="E72" s="120"/>
      <c r="F72" s="92">
        <f ca="1" t="shared" si="34"/>
        <v>9177</v>
      </c>
      <c r="G72" s="92">
        <f ca="1" t="shared" si="34"/>
        <v>88108</v>
      </c>
      <c r="H72" s="92">
        <f ca="1" t="shared" si="34"/>
        <v>33087</v>
      </c>
      <c r="I72" s="92">
        <f ca="1" t="shared" si="34"/>
        <v>10474</v>
      </c>
      <c r="J72" s="92">
        <f ca="1" t="shared" si="34"/>
        <v>14096</v>
      </c>
      <c r="K72" s="92">
        <f ca="1" t="shared" si="34"/>
        <v>3399</v>
      </c>
      <c r="L72" s="92">
        <f ca="1" t="shared" si="34"/>
        <v>2160</v>
      </c>
      <c r="M72" s="92">
        <f ca="1" t="shared" si="34"/>
        <v>0</v>
      </c>
      <c r="N72" s="92">
        <f ca="1" t="shared" si="34"/>
        <v>0</v>
      </c>
      <c r="O72" s="92">
        <f ca="1" t="shared" si="34"/>
        <v>0</v>
      </c>
      <c r="P72" s="92">
        <f ca="1" t="shared" si="35"/>
        <v>0</v>
      </c>
      <c r="Q72" s="92">
        <f ca="1" t="shared" si="35"/>
        <v>0</v>
      </c>
      <c r="R72" s="92">
        <f ca="1" t="shared" si="35"/>
        <v>0</v>
      </c>
      <c r="S72" s="92">
        <f ca="1" t="shared" si="35"/>
        <v>0</v>
      </c>
      <c r="T72" s="92">
        <f ca="1" t="shared" si="35"/>
        <v>0</v>
      </c>
      <c r="U72" s="92">
        <f ca="1" t="shared" si="35"/>
        <v>0</v>
      </c>
      <c r="V72" s="92">
        <f ca="1" t="shared" si="35"/>
        <v>0</v>
      </c>
      <c r="W72" s="92">
        <f ca="1" t="shared" si="35"/>
        <v>0</v>
      </c>
      <c r="X72" s="92">
        <f ca="1" t="shared" si="35"/>
        <v>0</v>
      </c>
      <c r="Y72" s="92">
        <f ca="1" t="shared" si="35"/>
        <v>0</v>
      </c>
      <c r="Z72" s="92">
        <f ca="1" t="shared" si="36"/>
        <v>0</v>
      </c>
      <c r="AA72" s="92">
        <f ca="1" t="shared" si="36"/>
        <v>0</v>
      </c>
      <c r="AB72" s="92">
        <f ca="1" t="shared" si="36"/>
        <v>0</v>
      </c>
      <c r="AC72" s="92">
        <f ca="1" t="shared" si="36"/>
        <v>0</v>
      </c>
      <c r="AD72" s="92">
        <f ca="1" t="shared" si="36"/>
        <v>0</v>
      </c>
      <c r="AE72" s="92">
        <f ca="1" t="shared" si="36"/>
        <v>0</v>
      </c>
      <c r="AF72" s="92">
        <f ca="1" t="shared" si="36"/>
        <v>0</v>
      </c>
      <c r="AG72" s="92">
        <f ca="1" t="shared" si="36"/>
        <v>0</v>
      </c>
      <c r="AH72" s="92">
        <f ca="1" t="shared" si="36"/>
        <v>0</v>
      </c>
      <c r="AI72" s="92">
        <f ca="1" t="shared" si="36"/>
        <v>0</v>
      </c>
      <c r="AJ72" s="92">
        <f ca="1" t="shared" si="37"/>
        <v>0</v>
      </c>
      <c r="AK72" s="92">
        <f ca="1" t="shared" si="37"/>
        <v>0</v>
      </c>
      <c r="AL72" s="92">
        <f ca="1" t="shared" si="37"/>
        <v>0</v>
      </c>
      <c r="AM72" s="92">
        <f ca="1" t="shared" si="37"/>
        <v>0</v>
      </c>
      <c r="AN72" s="92">
        <f ca="1" t="shared" si="37"/>
        <v>0</v>
      </c>
      <c r="AO72" s="93">
        <f ca="1" t="shared" si="37"/>
        <v>0</v>
      </c>
    </row>
    <row r="73" spans="1:41" ht="12.75">
      <c r="A73" s="119">
        <f>IF(A72="","",IF(EOMONTH(A72,0)+1&gt;RunDat,"",EOMONTH(A72,0)+1))</f>
        <v>36465</v>
      </c>
      <c r="B73" s="120"/>
      <c r="C73" s="121"/>
      <c r="D73" s="92">
        <f t="shared" si="29"/>
        <v>157261</v>
      </c>
      <c r="E73" s="120"/>
      <c r="F73" s="92">
        <f ca="1" t="shared" si="34"/>
        <v>21566</v>
      </c>
      <c r="G73" s="92">
        <f ca="1" t="shared" si="34"/>
        <v>52091</v>
      </c>
      <c r="H73" s="92">
        <f ca="1" t="shared" si="34"/>
        <v>29728</v>
      </c>
      <c r="I73" s="92">
        <f ca="1" t="shared" si="34"/>
        <v>19224</v>
      </c>
      <c r="J73" s="92">
        <f ca="1" t="shared" si="34"/>
        <v>13276</v>
      </c>
      <c r="K73" s="92">
        <f ca="1" t="shared" si="34"/>
        <v>20812</v>
      </c>
      <c r="L73" s="92">
        <f ca="1" t="shared" si="34"/>
        <v>492</v>
      </c>
      <c r="M73" s="92">
        <f ca="1" t="shared" si="34"/>
        <v>72</v>
      </c>
      <c r="N73" s="92">
        <f ca="1" t="shared" si="34"/>
        <v>0</v>
      </c>
      <c r="O73" s="92">
        <f ca="1" t="shared" si="34"/>
        <v>0</v>
      </c>
      <c r="P73" s="92">
        <f ca="1" t="shared" si="35"/>
        <v>0</v>
      </c>
      <c r="Q73" s="92">
        <f ca="1" t="shared" si="35"/>
        <v>0</v>
      </c>
      <c r="R73" s="92">
        <f ca="1" t="shared" si="35"/>
        <v>0</v>
      </c>
      <c r="S73" s="92">
        <f ca="1" t="shared" si="35"/>
        <v>0</v>
      </c>
      <c r="T73" s="92">
        <f ca="1" t="shared" si="35"/>
        <v>0</v>
      </c>
      <c r="U73" s="92">
        <f ca="1" t="shared" si="35"/>
        <v>0</v>
      </c>
      <c r="V73" s="92">
        <f ca="1" t="shared" si="35"/>
        <v>0</v>
      </c>
      <c r="W73" s="92">
        <f ca="1" t="shared" si="35"/>
        <v>0</v>
      </c>
      <c r="X73" s="92">
        <f ca="1" t="shared" si="35"/>
        <v>0</v>
      </c>
      <c r="Y73" s="92">
        <f ca="1" t="shared" si="35"/>
        <v>0</v>
      </c>
      <c r="Z73" s="92">
        <f ca="1" t="shared" si="36"/>
        <v>0</v>
      </c>
      <c r="AA73" s="92">
        <f ca="1" t="shared" si="36"/>
        <v>0</v>
      </c>
      <c r="AB73" s="92">
        <f ca="1" t="shared" si="36"/>
        <v>0</v>
      </c>
      <c r="AC73" s="92">
        <f ca="1" t="shared" si="36"/>
        <v>0</v>
      </c>
      <c r="AD73" s="92">
        <f ca="1" t="shared" si="36"/>
        <v>0</v>
      </c>
      <c r="AE73" s="92">
        <f ca="1" t="shared" si="36"/>
        <v>0</v>
      </c>
      <c r="AF73" s="92">
        <f ca="1" t="shared" si="36"/>
        <v>0</v>
      </c>
      <c r="AG73" s="92">
        <f ca="1" t="shared" si="36"/>
        <v>0</v>
      </c>
      <c r="AH73" s="92">
        <f ca="1" t="shared" si="36"/>
        <v>0</v>
      </c>
      <c r="AI73" s="92">
        <f ca="1" t="shared" si="36"/>
        <v>0</v>
      </c>
      <c r="AJ73" s="92">
        <f ca="1" t="shared" si="37"/>
        <v>0</v>
      </c>
      <c r="AK73" s="92">
        <f ca="1" t="shared" si="37"/>
        <v>0</v>
      </c>
      <c r="AL73" s="92">
        <f ca="1" t="shared" si="37"/>
        <v>0</v>
      </c>
      <c r="AM73" s="92">
        <f ca="1" t="shared" si="37"/>
        <v>0</v>
      </c>
      <c r="AN73" s="92">
        <f ca="1" t="shared" si="37"/>
        <v>0</v>
      </c>
      <c r="AO73" s="93">
        <f ca="1" t="shared" si="37"/>
        <v>0</v>
      </c>
    </row>
    <row r="74" spans="1:41" ht="12.75">
      <c r="A74" s="119">
        <f>IF(A73="","",IF(EOMONTH(A73,0)+1&gt;RunDat,"",EOMONTH(A73,0)+1))</f>
        <v>36495</v>
      </c>
      <c r="B74" s="120"/>
      <c r="C74" s="121"/>
      <c r="D74" s="92">
        <f t="shared" si="29"/>
        <v>81345</v>
      </c>
      <c r="E74" s="120"/>
      <c r="F74" s="92">
        <f ca="1" t="shared" si="34"/>
        <v>9334</v>
      </c>
      <c r="G74" s="92">
        <f ca="1" t="shared" si="34"/>
        <v>44918</v>
      </c>
      <c r="H74" s="92">
        <f ca="1" t="shared" si="34"/>
        <v>8840</v>
      </c>
      <c r="I74" s="92">
        <f ca="1" t="shared" si="34"/>
        <v>10188</v>
      </c>
      <c r="J74" s="92">
        <f ca="1" t="shared" si="34"/>
        <v>2579</v>
      </c>
      <c r="K74" s="92">
        <f ca="1" t="shared" si="34"/>
        <v>141</v>
      </c>
      <c r="L74" s="92">
        <f ca="1" t="shared" si="34"/>
        <v>1119</v>
      </c>
      <c r="M74" s="92">
        <f ca="1" t="shared" si="34"/>
        <v>72</v>
      </c>
      <c r="N74" s="92">
        <f ca="1" t="shared" si="34"/>
        <v>4154</v>
      </c>
      <c r="O74" s="92">
        <f ca="1" t="shared" si="34"/>
        <v>0</v>
      </c>
      <c r="P74" s="92">
        <f ca="1" t="shared" si="35"/>
        <v>0</v>
      </c>
      <c r="Q74" s="92">
        <f ca="1" t="shared" si="35"/>
        <v>0</v>
      </c>
      <c r="R74" s="92">
        <f ca="1" t="shared" si="35"/>
        <v>0</v>
      </c>
      <c r="S74" s="92">
        <f ca="1" t="shared" si="35"/>
        <v>0</v>
      </c>
      <c r="T74" s="92">
        <f ca="1" t="shared" si="35"/>
        <v>0</v>
      </c>
      <c r="U74" s="92">
        <f ca="1" t="shared" si="35"/>
        <v>0</v>
      </c>
      <c r="V74" s="92">
        <f ca="1" t="shared" si="35"/>
        <v>0</v>
      </c>
      <c r="W74" s="92">
        <f ca="1" t="shared" si="35"/>
        <v>0</v>
      </c>
      <c r="X74" s="92">
        <f ca="1" t="shared" si="35"/>
        <v>0</v>
      </c>
      <c r="Y74" s="92">
        <f ca="1" t="shared" si="35"/>
        <v>0</v>
      </c>
      <c r="Z74" s="92">
        <f ca="1" t="shared" si="36"/>
        <v>0</v>
      </c>
      <c r="AA74" s="92">
        <f ca="1" t="shared" si="36"/>
        <v>0</v>
      </c>
      <c r="AB74" s="92">
        <f ca="1" t="shared" si="36"/>
        <v>0</v>
      </c>
      <c r="AC74" s="92">
        <f ca="1" t="shared" si="36"/>
        <v>0</v>
      </c>
      <c r="AD74" s="92">
        <f ca="1" t="shared" si="36"/>
        <v>0</v>
      </c>
      <c r="AE74" s="92">
        <f ca="1" t="shared" si="36"/>
        <v>0</v>
      </c>
      <c r="AF74" s="92">
        <f ca="1" t="shared" si="36"/>
        <v>0</v>
      </c>
      <c r="AG74" s="92">
        <f ca="1" t="shared" si="36"/>
        <v>0</v>
      </c>
      <c r="AH74" s="92">
        <f ca="1" t="shared" si="36"/>
        <v>0</v>
      </c>
      <c r="AI74" s="92">
        <f ca="1" t="shared" si="36"/>
        <v>0</v>
      </c>
      <c r="AJ74" s="92">
        <f ca="1" t="shared" si="37"/>
        <v>0</v>
      </c>
      <c r="AK74" s="92">
        <f ca="1" t="shared" si="37"/>
        <v>0</v>
      </c>
      <c r="AL74" s="92">
        <f ca="1" t="shared" si="37"/>
        <v>0</v>
      </c>
      <c r="AM74" s="92">
        <f ca="1" t="shared" si="37"/>
        <v>0</v>
      </c>
      <c r="AN74" s="92">
        <f ca="1" t="shared" si="37"/>
        <v>0</v>
      </c>
      <c r="AO74" s="93">
        <f ca="1" t="shared" si="37"/>
        <v>0</v>
      </c>
    </row>
    <row r="75" spans="1:41" ht="12.75">
      <c r="A75" s="119">
        <f>IF(A74="","",IF(EOMONTH(A74,0)+1&gt;RunDat,"",EOMONTH(A74,0)+1))</f>
        <v>36526</v>
      </c>
      <c r="B75" s="120"/>
      <c r="C75" s="121"/>
      <c r="D75" s="92">
        <f t="shared" si="29"/>
        <v>166835</v>
      </c>
      <c r="E75" s="120"/>
      <c r="F75" s="92">
        <f ca="1" t="shared" si="34"/>
        <v>51587</v>
      </c>
      <c r="G75" s="92">
        <f ca="1" t="shared" si="34"/>
        <v>90775</v>
      </c>
      <c r="H75" s="92">
        <f ca="1" t="shared" si="34"/>
        <v>5794</v>
      </c>
      <c r="I75" s="92">
        <f ca="1" t="shared" si="34"/>
        <v>4870</v>
      </c>
      <c r="J75" s="92">
        <f ca="1" t="shared" si="34"/>
        <v>5698</v>
      </c>
      <c r="K75" s="92">
        <f ca="1" t="shared" si="34"/>
        <v>2463</v>
      </c>
      <c r="L75" s="92">
        <f ca="1" t="shared" si="34"/>
        <v>1010</v>
      </c>
      <c r="M75" s="92">
        <f ca="1" t="shared" si="34"/>
        <v>484</v>
      </c>
      <c r="N75" s="92">
        <f ca="1" t="shared" si="34"/>
        <v>4154</v>
      </c>
      <c r="O75" s="92">
        <f ca="1" t="shared" si="34"/>
        <v>0</v>
      </c>
      <c r="P75" s="92">
        <f ca="1" t="shared" si="35"/>
        <v>0</v>
      </c>
      <c r="Q75" s="92">
        <f ca="1" t="shared" si="35"/>
        <v>0</v>
      </c>
      <c r="R75" s="92">
        <f ca="1" t="shared" si="35"/>
        <v>0</v>
      </c>
      <c r="S75" s="92">
        <f ca="1" t="shared" si="35"/>
        <v>0</v>
      </c>
      <c r="T75" s="92">
        <f ca="1" t="shared" si="35"/>
        <v>0</v>
      </c>
      <c r="U75" s="92">
        <f ca="1" t="shared" si="35"/>
        <v>0</v>
      </c>
      <c r="V75" s="92">
        <f ca="1" t="shared" si="35"/>
        <v>0</v>
      </c>
      <c r="W75" s="92">
        <f ca="1" t="shared" si="35"/>
        <v>0</v>
      </c>
      <c r="X75" s="92">
        <f ca="1" t="shared" si="35"/>
        <v>0</v>
      </c>
      <c r="Y75" s="92">
        <f ca="1" t="shared" si="35"/>
        <v>0</v>
      </c>
      <c r="Z75" s="92">
        <f ca="1" t="shared" si="36"/>
        <v>0</v>
      </c>
      <c r="AA75" s="92">
        <f ca="1" t="shared" si="36"/>
        <v>0</v>
      </c>
      <c r="AB75" s="92">
        <f ca="1" t="shared" si="36"/>
        <v>0</v>
      </c>
      <c r="AC75" s="92">
        <f ca="1" t="shared" si="36"/>
        <v>0</v>
      </c>
      <c r="AD75" s="92">
        <f ca="1" t="shared" si="36"/>
        <v>0</v>
      </c>
      <c r="AE75" s="92">
        <f ca="1" t="shared" si="36"/>
        <v>0</v>
      </c>
      <c r="AF75" s="92">
        <f ca="1" t="shared" si="36"/>
        <v>0</v>
      </c>
      <c r="AG75" s="92">
        <f ca="1" t="shared" si="36"/>
        <v>0</v>
      </c>
      <c r="AH75" s="92">
        <f ca="1" t="shared" si="36"/>
        <v>0</v>
      </c>
      <c r="AI75" s="92">
        <f ca="1" t="shared" si="36"/>
        <v>0</v>
      </c>
      <c r="AJ75" s="92">
        <f ca="1" t="shared" si="37"/>
        <v>0</v>
      </c>
      <c r="AK75" s="92">
        <f ca="1" t="shared" si="37"/>
        <v>0</v>
      </c>
      <c r="AL75" s="92">
        <f ca="1" t="shared" si="37"/>
        <v>0</v>
      </c>
      <c r="AM75" s="92">
        <f ca="1" t="shared" si="37"/>
        <v>0</v>
      </c>
      <c r="AN75" s="92">
        <f ca="1" t="shared" si="37"/>
        <v>0</v>
      </c>
      <c r="AO75" s="93">
        <f ca="1" t="shared" si="37"/>
        <v>0</v>
      </c>
    </row>
    <row r="76" spans="1:41" ht="12.75">
      <c r="A76" s="119">
        <f>IF(A75="","",IF(EOMONTH(A75,0)+1&gt;RunDat,"",EOMONTH(A75,0)+1))</f>
        <v>36557</v>
      </c>
      <c r="B76" s="120"/>
      <c r="C76" s="121"/>
      <c r="D76" s="92">
        <f t="shared" si="29"/>
        <v>288985</v>
      </c>
      <c r="E76" s="120"/>
      <c r="F76" s="92">
        <f ca="1" t="shared" si="34"/>
        <v>8561</v>
      </c>
      <c r="G76" s="92">
        <f ca="1" t="shared" si="34"/>
        <v>137822</v>
      </c>
      <c r="H76" s="92">
        <f ca="1" t="shared" si="34"/>
        <v>92161</v>
      </c>
      <c r="I76" s="92">
        <f ca="1" t="shared" si="34"/>
        <v>3493</v>
      </c>
      <c r="J76" s="92">
        <f ca="1" t="shared" si="34"/>
        <v>4827</v>
      </c>
      <c r="K76" s="92">
        <f ca="1" t="shared" si="34"/>
        <v>1709</v>
      </c>
      <c r="L76" s="92">
        <f ca="1" t="shared" si="34"/>
        <v>34006</v>
      </c>
      <c r="M76" s="92">
        <f ca="1" t="shared" si="34"/>
        <v>484</v>
      </c>
      <c r="N76" s="92">
        <f ca="1" t="shared" si="34"/>
        <v>5922</v>
      </c>
      <c r="O76" s="92">
        <f ca="1" t="shared" si="34"/>
        <v>0</v>
      </c>
      <c r="P76" s="92">
        <f ca="1" t="shared" si="35"/>
        <v>0</v>
      </c>
      <c r="Q76" s="92">
        <f ca="1" t="shared" si="35"/>
        <v>0</v>
      </c>
      <c r="R76" s="92">
        <f ca="1" t="shared" si="35"/>
        <v>0</v>
      </c>
      <c r="S76" s="92">
        <f ca="1" t="shared" si="35"/>
        <v>0</v>
      </c>
      <c r="T76" s="92">
        <f ca="1" t="shared" si="35"/>
        <v>0</v>
      </c>
      <c r="U76" s="92">
        <f ca="1" t="shared" si="35"/>
        <v>0</v>
      </c>
      <c r="V76" s="92">
        <f ca="1" t="shared" si="35"/>
        <v>0</v>
      </c>
      <c r="W76" s="92">
        <f ca="1" t="shared" si="35"/>
        <v>0</v>
      </c>
      <c r="X76" s="92">
        <f ca="1" t="shared" si="35"/>
        <v>0</v>
      </c>
      <c r="Y76" s="92">
        <f ca="1" t="shared" si="35"/>
        <v>0</v>
      </c>
      <c r="Z76" s="92">
        <f ca="1" t="shared" si="36"/>
        <v>0</v>
      </c>
      <c r="AA76" s="92">
        <f ca="1" t="shared" si="36"/>
        <v>0</v>
      </c>
      <c r="AB76" s="92">
        <f ca="1" t="shared" si="36"/>
        <v>0</v>
      </c>
      <c r="AC76" s="92">
        <f ca="1" t="shared" si="36"/>
        <v>0</v>
      </c>
      <c r="AD76" s="92">
        <f ca="1" t="shared" si="36"/>
        <v>0</v>
      </c>
      <c r="AE76" s="92">
        <f ca="1" t="shared" si="36"/>
        <v>0</v>
      </c>
      <c r="AF76" s="92">
        <f ca="1" t="shared" si="36"/>
        <v>0</v>
      </c>
      <c r="AG76" s="92">
        <f ca="1" t="shared" si="36"/>
        <v>0</v>
      </c>
      <c r="AH76" s="92">
        <f ca="1" t="shared" si="36"/>
        <v>0</v>
      </c>
      <c r="AI76" s="92">
        <f ca="1" t="shared" si="36"/>
        <v>0</v>
      </c>
      <c r="AJ76" s="92">
        <f ca="1" t="shared" si="37"/>
        <v>0</v>
      </c>
      <c r="AK76" s="92">
        <f ca="1" t="shared" si="37"/>
        <v>0</v>
      </c>
      <c r="AL76" s="92">
        <f ca="1" t="shared" si="37"/>
        <v>0</v>
      </c>
      <c r="AM76" s="92">
        <f ca="1" t="shared" si="37"/>
        <v>0</v>
      </c>
      <c r="AN76" s="92">
        <f ca="1" t="shared" si="37"/>
        <v>0</v>
      </c>
      <c r="AO76" s="93">
        <f ca="1" t="shared" si="37"/>
        <v>0</v>
      </c>
    </row>
    <row r="77" spans="1:41" ht="12.75">
      <c r="A77" s="119">
        <f>IF(A76="","",IF(EOMONTH(A76,0)+1&gt;RunDat,"",EOMONTH(A76,0)+1))</f>
        <v>36586</v>
      </c>
      <c r="B77" s="120"/>
      <c r="C77" s="121"/>
      <c r="D77" s="92">
        <f t="shared" si="29"/>
        <v>157814</v>
      </c>
      <c r="E77" s="120"/>
      <c r="F77" s="92">
        <f ca="1" t="shared" si="34"/>
        <v>24902</v>
      </c>
      <c r="G77" s="92">
        <f ca="1" t="shared" si="34"/>
        <v>60370</v>
      </c>
      <c r="H77" s="92">
        <f ca="1" t="shared" si="34"/>
        <v>7018</v>
      </c>
      <c r="I77" s="92">
        <f ca="1" t="shared" si="34"/>
        <v>12514</v>
      </c>
      <c r="J77" s="92">
        <f ca="1" t="shared" si="34"/>
        <v>4941</v>
      </c>
      <c r="K77" s="92">
        <f ca="1" t="shared" si="34"/>
        <v>13323</v>
      </c>
      <c r="L77" s="92">
        <f ca="1" t="shared" si="34"/>
        <v>30681</v>
      </c>
      <c r="M77" s="92">
        <f ca="1" t="shared" si="34"/>
        <v>-80</v>
      </c>
      <c r="N77" s="92">
        <f ca="1" t="shared" si="34"/>
        <v>6162</v>
      </c>
      <c r="O77" s="92">
        <f ca="1" t="shared" si="34"/>
        <v>-2017</v>
      </c>
      <c r="P77" s="92">
        <f ca="1" t="shared" si="35"/>
        <v>0</v>
      </c>
      <c r="Q77" s="92">
        <f ca="1" t="shared" si="35"/>
        <v>0</v>
      </c>
      <c r="R77" s="92">
        <f ca="1" t="shared" si="35"/>
        <v>0</v>
      </c>
      <c r="S77" s="92">
        <f ca="1" t="shared" si="35"/>
        <v>0</v>
      </c>
      <c r="T77" s="92">
        <f ca="1" t="shared" si="35"/>
        <v>0</v>
      </c>
      <c r="U77" s="92">
        <f ca="1" t="shared" si="35"/>
        <v>0</v>
      </c>
      <c r="V77" s="92">
        <f ca="1" t="shared" si="35"/>
        <v>0</v>
      </c>
      <c r="W77" s="92">
        <f ca="1" t="shared" si="35"/>
        <v>0</v>
      </c>
      <c r="X77" s="92">
        <f ca="1" t="shared" si="35"/>
        <v>0</v>
      </c>
      <c r="Y77" s="92">
        <f ca="1" t="shared" si="35"/>
        <v>0</v>
      </c>
      <c r="Z77" s="92">
        <f ca="1" t="shared" si="36"/>
        <v>0</v>
      </c>
      <c r="AA77" s="92">
        <f ca="1" t="shared" si="36"/>
        <v>0</v>
      </c>
      <c r="AB77" s="92">
        <f ca="1" t="shared" si="36"/>
        <v>0</v>
      </c>
      <c r="AC77" s="92">
        <f ca="1" t="shared" si="36"/>
        <v>0</v>
      </c>
      <c r="AD77" s="92">
        <f ca="1" t="shared" si="36"/>
        <v>0</v>
      </c>
      <c r="AE77" s="92">
        <f ca="1" t="shared" si="36"/>
        <v>0</v>
      </c>
      <c r="AF77" s="92">
        <f ca="1" t="shared" si="36"/>
        <v>0</v>
      </c>
      <c r="AG77" s="92">
        <f ca="1" t="shared" si="36"/>
        <v>0</v>
      </c>
      <c r="AH77" s="92">
        <f ca="1" t="shared" si="36"/>
        <v>0</v>
      </c>
      <c r="AI77" s="92">
        <f ca="1" t="shared" si="36"/>
        <v>0</v>
      </c>
      <c r="AJ77" s="92">
        <f ca="1" t="shared" si="37"/>
        <v>0</v>
      </c>
      <c r="AK77" s="92">
        <f ca="1" t="shared" si="37"/>
        <v>0</v>
      </c>
      <c r="AL77" s="92">
        <f ca="1" t="shared" si="37"/>
        <v>0</v>
      </c>
      <c r="AM77" s="92">
        <f ca="1" t="shared" si="37"/>
        <v>0</v>
      </c>
      <c r="AN77" s="92">
        <f ca="1" t="shared" si="37"/>
        <v>0</v>
      </c>
      <c r="AO77" s="93">
        <f ca="1" t="shared" si="37"/>
        <v>0</v>
      </c>
    </row>
    <row r="78" spans="1:41" ht="12.75">
      <c r="A78" s="119">
        <f>IF(A77="","",IF(EOMONTH(A77,0)+1&gt;RunDat,"",EOMONTH(A77,0)+1))</f>
        <v>36617</v>
      </c>
      <c r="B78" s="120"/>
      <c r="C78" s="121"/>
      <c r="D78" s="92">
        <f t="shared" si="29"/>
        <v>266552</v>
      </c>
      <c r="E78" s="120"/>
      <c r="F78" s="92">
        <f aca="true" ca="1" t="shared" si="38" ref="F78:O87">IF($A78="","",IF(OR(F$8&lt;=ROUND(DAYS360(ValDat,$A78,0)/30,0),F$8&gt;ROUND(DAYS360(ExpDat,$A78,0)/30,0)),0,OFFSET(F$45,MAX(-MNR,ROUND(DAYS360(ValDat,$A78,0)/30,0)-F$8+MEP-MNR),0,1,1)))</f>
        <v>5744</v>
      </c>
      <c r="G78" s="92">
        <f ca="1" t="shared" si="38"/>
        <v>72373</v>
      </c>
      <c r="H78" s="92">
        <f ca="1" t="shared" si="38"/>
        <v>167781</v>
      </c>
      <c r="I78" s="92">
        <f ca="1" t="shared" si="38"/>
        <v>12343</v>
      </c>
      <c r="J78" s="92">
        <f ca="1" t="shared" si="38"/>
        <v>4501</v>
      </c>
      <c r="K78" s="92">
        <f ca="1" t="shared" si="38"/>
        <v>13013</v>
      </c>
      <c r="L78" s="92">
        <f ca="1" t="shared" si="38"/>
        <v>-7175</v>
      </c>
      <c r="M78" s="92">
        <f ca="1" t="shared" si="38"/>
        <v>-80</v>
      </c>
      <c r="N78" s="92">
        <f ca="1" t="shared" si="38"/>
        <v>309</v>
      </c>
      <c r="O78" s="92">
        <f ca="1" t="shared" si="38"/>
        <v>-2257</v>
      </c>
      <c r="P78" s="92">
        <f aca="true" ca="1" t="shared" si="39" ref="P78:Y87">IF($A78="","",IF(OR(P$8&lt;=ROUND(DAYS360(ValDat,$A78,0)/30,0),P$8&gt;ROUND(DAYS360(ExpDat,$A78,0)/30,0)),0,OFFSET(P$45,MAX(-MNR,ROUND(DAYS360(ValDat,$A78,0)/30,0)-P$8+MEP-MNR),0,1,1)))</f>
        <v>0</v>
      </c>
      <c r="Q78" s="92">
        <f ca="1" t="shared" si="39"/>
        <v>0</v>
      </c>
      <c r="R78" s="92">
        <f ca="1" t="shared" si="39"/>
        <v>0</v>
      </c>
      <c r="S78" s="92">
        <f ca="1" t="shared" si="39"/>
        <v>0</v>
      </c>
      <c r="T78" s="92">
        <f ca="1" t="shared" si="39"/>
        <v>0</v>
      </c>
      <c r="U78" s="92">
        <f ca="1" t="shared" si="39"/>
        <v>0</v>
      </c>
      <c r="V78" s="92">
        <f ca="1" t="shared" si="39"/>
        <v>0</v>
      </c>
      <c r="W78" s="92">
        <f ca="1" t="shared" si="39"/>
        <v>0</v>
      </c>
      <c r="X78" s="92">
        <f ca="1" t="shared" si="39"/>
        <v>0</v>
      </c>
      <c r="Y78" s="92">
        <f ca="1" t="shared" si="39"/>
        <v>0</v>
      </c>
      <c r="Z78" s="92">
        <f aca="true" ca="1" t="shared" si="40" ref="Z78:AI87">IF($A78="","",IF(OR(Z$8&lt;=ROUND(DAYS360(ValDat,$A78,0)/30,0),Z$8&gt;ROUND(DAYS360(ExpDat,$A78,0)/30,0)),0,OFFSET(Z$45,MAX(-MNR,ROUND(DAYS360(ValDat,$A78,0)/30,0)-Z$8+MEP-MNR),0,1,1)))</f>
        <v>0</v>
      </c>
      <c r="AA78" s="92">
        <f ca="1" t="shared" si="40"/>
        <v>0</v>
      </c>
      <c r="AB78" s="92">
        <f ca="1" t="shared" si="40"/>
        <v>0</v>
      </c>
      <c r="AC78" s="92">
        <f ca="1" t="shared" si="40"/>
        <v>0</v>
      </c>
      <c r="AD78" s="92">
        <f ca="1" t="shared" si="40"/>
        <v>0</v>
      </c>
      <c r="AE78" s="92">
        <f ca="1" t="shared" si="40"/>
        <v>0</v>
      </c>
      <c r="AF78" s="92">
        <f ca="1" t="shared" si="40"/>
        <v>0</v>
      </c>
      <c r="AG78" s="92">
        <f ca="1" t="shared" si="40"/>
        <v>0</v>
      </c>
      <c r="AH78" s="92">
        <f ca="1" t="shared" si="40"/>
        <v>0</v>
      </c>
      <c r="AI78" s="92">
        <f ca="1" t="shared" si="40"/>
        <v>0</v>
      </c>
      <c r="AJ78" s="92">
        <f aca="true" ca="1" t="shared" si="41" ref="AJ78:AO87">IF($A78="","",IF(OR(AJ$8&lt;=ROUND(DAYS360(ValDat,$A78,0)/30,0),AJ$8&gt;ROUND(DAYS360(ExpDat,$A78,0)/30,0)),0,OFFSET(AJ$45,MAX(-MNR,ROUND(DAYS360(ValDat,$A78,0)/30,0)-AJ$8+MEP-MNR),0,1,1)))</f>
        <v>0</v>
      </c>
      <c r="AK78" s="92">
        <f ca="1" t="shared" si="41"/>
        <v>0</v>
      </c>
      <c r="AL78" s="92">
        <f ca="1" t="shared" si="41"/>
        <v>0</v>
      </c>
      <c r="AM78" s="92">
        <f ca="1" t="shared" si="41"/>
        <v>0</v>
      </c>
      <c r="AN78" s="92">
        <f ca="1" t="shared" si="41"/>
        <v>0</v>
      </c>
      <c r="AO78" s="93">
        <f ca="1" t="shared" si="41"/>
        <v>0</v>
      </c>
    </row>
    <row r="79" spans="1:41" ht="12.75">
      <c r="A79" s="119">
        <f>IF(A78="","",IF(EOMONTH(A78,0)+1&gt;RunDat,"",EOMONTH(A78,0)+1))</f>
        <v>36647</v>
      </c>
      <c r="B79" s="120"/>
      <c r="C79" s="121"/>
      <c r="D79" s="92">
        <f t="shared" si="29"/>
        <v>289221</v>
      </c>
      <c r="E79" s="120"/>
      <c r="F79" s="92">
        <f ca="1" t="shared" si="38"/>
        <v>33042</v>
      </c>
      <c r="G79" s="92">
        <f ca="1" t="shared" si="38"/>
        <v>88812</v>
      </c>
      <c r="H79" s="92">
        <f ca="1" t="shared" si="38"/>
        <v>149464</v>
      </c>
      <c r="I79" s="92">
        <f ca="1" t="shared" si="38"/>
        <v>11758</v>
      </c>
      <c r="J79" s="92">
        <f ca="1" t="shared" si="38"/>
        <v>1008</v>
      </c>
      <c r="K79" s="92">
        <f ca="1" t="shared" si="38"/>
        <v>3851</v>
      </c>
      <c r="L79" s="92">
        <f ca="1" t="shared" si="38"/>
        <v>-7298</v>
      </c>
      <c r="M79" s="92">
        <f ca="1" t="shared" si="38"/>
        <v>1423</v>
      </c>
      <c r="N79" s="92">
        <f ca="1" t="shared" si="38"/>
        <v>3589</v>
      </c>
      <c r="O79" s="92">
        <f ca="1" t="shared" si="38"/>
        <v>3572</v>
      </c>
      <c r="P79" s="92">
        <f ca="1" t="shared" si="39"/>
        <v>0</v>
      </c>
      <c r="Q79" s="92">
        <f ca="1" t="shared" si="39"/>
        <v>0</v>
      </c>
      <c r="R79" s="92">
        <f ca="1" t="shared" si="39"/>
        <v>0</v>
      </c>
      <c r="S79" s="92">
        <f ca="1" t="shared" si="39"/>
        <v>0</v>
      </c>
      <c r="T79" s="92">
        <f ca="1" t="shared" si="39"/>
        <v>0</v>
      </c>
      <c r="U79" s="92">
        <f ca="1" t="shared" si="39"/>
        <v>0</v>
      </c>
      <c r="V79" s="92">
        <f ca="1" t="shared" si="39"/>
        <v>0</v>
      </c>
      <c r="W79" s="92">
        <f ca="1" t="shared" si="39"/>
        <v>0</v>
      </c>
      <c r="X79" s="92">
        <f ca="1" t="shared" si="39"/>
        <v>0</v>
      </c>
      <c r="Y79" s="92">
        <f ca="1" t="shared" si="39"/>
        <v>0</v>
      </c>
      <c r="Z79" s="92">
        <f ca="1" t="shared" si="40"/>
        <v>0</v>
      </c>
      <c r="AA79" s="92">
        <f ca="1" t="shared" si="40"/>
        <v>0</v>
      </c>
      <c r="AB79" s="92">
        <f ca="1" t="shared" si="40"/>
        <v>0</v>
      </c>
      <c r="AC79" s="92">
        <f ca="1" t="shared" si="40"/>
        <v>0</v>
      </c>
      <c r="AD79" s="92">
        <f ca="1" t="shared" si="40"/>
        <v>0</v>
      </c>
      <c r="AE79" s="92">
        <f ca="1" t="shared" si="40"/>
        <v>0</v>
      </c>
      <c r="AF79" s="92">
        <f ca="1" t="shared" si="40"/>
        <v>0</v>
      </c>
      <c r="AG79" s="92">
        <f ca="1" t="shared" si="40"/>
        <v>0</v>
      </c>
      <c r="AH79" s="92">
        <f ca="1" t="shared" si="40"/>
        <v>0</v>
      </c>
      <c r="AI79" s="92">
        <f ca="1" t="shared" si="40"/>
        <v>0</v>
      </c>
      <c r="AJ79" s="92">
        <f ca="1" t="shared" si="41"/>
        <v>0</v>
      </c>
      <c r="AK79" s="92">
        <f ca="1" t="shared" si="41"/>
        <v>0</v>
      </c>
      <c r="AL79" s="92">
        <f ca="1" t="shared" si="41"/>
        <v>0</v>
      </c>
      <c r="AM79" s="92">
        <f ca="1" t="shared" si="41"/>
        <v>0</v>
      </c>
      <c r="AN79" s="92">
        <f ca="1" t="shared" si="41"/>
        <v>0</v>
      </c>
      <c r="AO79" s="93">
        <f ca="1" t="shared" si="41"/>
        <v>0</v>
      </c>
    </row>
    <row r="80" spans="1:41" ht="12.75">
      <c r="A80" s="119">
        <f>IF(A79="","",IF(EOMONTH(A79,0)+1&gt;RunDat,"",EOMONTH(A79,0)+1))</f>
        <v>36678</v>
      </c>
      <c r="B80" s="120"/>
      <c r="C80" s="121"/>
      <c r="D80" s="92">
        <f t="shared" si="29"/>
        <v>239050</v>
      </c>
      <c r="E80" s="120"/>
      <c r="F80" s="92">
        <f ca="1" t="shared" si="38"/>
        <v>9146</v>
      </c>
      <c r="G80" s="92">
        <f ca="1" t="shared" si="38"/>
        <v>115076</v>
      </c>
      <c r="H80" s="92">
        <f ca="1" t="shared" si="38"/>
        <v>73915</v>
      </c>
      <c r="I80" s="92">
        <f ca="1" t="shared" si="38"/>
        <v>8997</v>
      </c>
      <c r="J80" s="92">
        <f ca="1" t="shared" si="38"/>
        <v>26014</v>
      </c>
      <c r="K80" s="92">
        <f ca="1" t="shared" si="38"/>
        <v>3609</v>
      </c>
      <c r="L80" s="92">
        <f ca="1" t="shared" si="38"/>
        <v>655</v>
      </c>
      <c r="M80" s="92">
        <f ca="1" t="shared" si="38"/>
        <v>949</v>
      </c>
      <c r="N80" s="92">
        <f ca="1" t="shared" si="38"/>
        <v>384</v>
      </c>
      <c r="O80" s="92">
        <f ca="1" t="shared" si="38"/>
        <v>292</v>
      </c>
      <c r="P80" s="92">
        <f ca="1" t="shared" si="39"/>
        <v>13</v>
      </c>
      <c r="Q80" s="92">
        <f ca="1" t="shared" si="39"/>
        <v>0</v>
      </c>
      <c r="R80" s="92">
        <f ca="1" t="shared" si="39"/>
        <v>0</v>
      </c>
      <c r="S80" s="92">
        <f ca="1" t="shared" si="39"/>
        <v>0</v>
      </c>
      <c r="T80" s="92">
        <f ca="1" t="shared" si="39"/>
        <v>0</v>
      </c>
      <c r="U80" s="92">
        <f ca="1" t="shared" si="39"/>
        <v>0</v>
      </c>
      <c r="V80" s="92">
        <f ca="1" t="shared" si="39"/>
        <v>0</v>
      </c>
      <c r="W80" s="92">
        <f ca="1" t="shared" si="39"/>
        <v>0</v>
      </c>
      <c r="X80" s="92">
        <f ca="1" t="shared" si="39"/>
        <v>0</v>
      </c>
      <c r="Y80" s="92">
        <f ca="1" t="shared" si="39"/>
        <v>0</v>
      </c>
      <c r="Z80" s="92">
        <f ca="1" t="shared" si="40"/>
        <v>0</v>
      </c>
      <c r="AA80" s="92">
        <f ca="1" t="shared" si="40"/>
        <v>0</v>
      </c>
      <c r="AB80" s="92">
        <f ca="1" t="shared" si="40"/>
        <v>0</v>
      </c>
      <c r="AC80" s="92">
        <f ca="1" t="shared" si="40"/>
        <v>0</v>
      </c>
      <c r="AD80" s="92">
        <f ca="1" t="shared" si="40"/>
        <v>0</v>
      </c>
      <c r="AE80" s="92">
        <f ca="1" t="shared" si="40"/>
        <v>0</v>
      </c>
      <c r="AF80" s="92">
        <f ca="1" t="shared" si="40"/>
        <v>0</v>
      </c>
      <c r="AG80" s="92">
        <f ca="1" t="shared" si="40"/>
        <v>0</v>
      </c>
      <c r="AH80" s="92">
        <f ca="1" t="shared" si="40"/>
        <v>0</v>
      </c>
      <c r="AI80" s="92">
        <f ca="1" t="shared" si="40"/>
        <v>0</v>
      </c>
      <c r="AJ80" s="92">
        <f ca="1" t="shared" si="41"/>
        <v>0</v>
      </c>
      <c r="AK80" s="92">
        <f ca="1" t="shared" si="41"/>
        <v>0</v>
      </c>
      <c r="AL80" s="92">
        <f ca="1" t="shared" si="41"/>
        <v>0</v>
      </c>
      <c r="AM80" s="92">
        <f ca="1" t="shared" si="41"/>
        <v>0</v>
      </c>
      <c r="AN80" s="92">
        <f ca="1" t="shared" si="41"/>
        <v>0</v>
      </c>
      <c r="AO80" s="93">
        <f ca="1" t="shared" si="41"/>
        <v>0</v>
      </c>
    </row>
    <row r="81" spans="1:41" ht="12.75">
      <c r="A81" s="119">
        <f>IF(A80="","",IF(EOMONTH(A80,0)+1&gt;RunDat,"",EOMONTH(A80,0)+1))</f>
        <v>36708</v>
      </c>
      <c r="B81" s="120"/>
      <c r="C81" s="121"/>
      <c r="D81" s="92">
        <f t="shared" si="29"/>
        <v>276239</v>
      </c>
      <c r="E81" s="120"/>
      <c r="F81" s="92">
        <f ca="1" t="shared" si="38"/>
        <v>95821</v>
      </c>
      <c r="G81" s="92">
        <f ca="1" t="shared" si="38"/>
        <v>126060</v>
      </c>
      <c r="H81" s="92">
        <f ca="1" t="shared" si="38"/>
        <v>22022</v>
      </c>
      <c r="I81" s="92">
        <f ca="1" t="shared" si="38"/>
        <v>6913</v>
      </c>
      <c r="J81" s="92">
        <f ca="1" t="shared" si="38"/>
        <v>19057</v>
      </c>
      <c r="K81" s="92">
        <f ca="1" t="shared" si="38"/>
        <v>2620</v>
      </c>
      <c r="L81" s="92">
        <f ca="1" t="shared" si="38"/>
        <v>703</v>
      </c>
      <c r="M81" s="92">
        <f ca="1" t="shared" si="38"/>
        <v>828</v>
      </c>
      <c r="N81" s="92">
        <f ca="1" t="shared" si="38"/>
        <v>492</v>
      </c>
      <c r="O81" s="92">
        <f ca="1" t="shared" si="38"/>
        <v>278</v>
      </c>
      <c r="P81" s="92">
        <f ca="1" t="shared" si="39"/>
        <v>13</v>
      </c>
      <c r="Q81" s="92">
        <f ca="1" t="shared" si="39"/>
        <v>1432</v>
      </c>
      <c r="R81" s="92">
        <f ca="1" t="shared" si="39"/>
        <v>0</v>
      </c>
      <c r="S81" s="92">
        <f ca="1" t="shared" si="39"/>
        <v>0</v>
      </c>
      <c r="T81" s="92">
        <f ca="1" t="shared" si="39"/>
        <v>0</v>
      </c>
      <c r="U81" s="92">
        <f ca="1" t="shared" si="39"/>
        <v>0</v>
      </c>
      <c r="V81" s="92">
        <f ca="1" t="shared" si="39"/>
        <v>0</v>
      </c>
      <c r="W81" s="92">
        <f ca="1" t="shared" si="39"/>
        <v>0</v>
      </c>
      <c r="X81" s="92">
        <f ca="1" t="shared" si="39"/>
        <v>0</v>
      </c>
      <c r="Y81" s="92">
        <f ca="1" t="shared" si="39"/>
        <v>0</v>
      </c>
      <c r="Z81" s="92">
        <f ca="1" t="shared" si="40"/>
        <v>0</v>
      </c>
      <c r="AA81" s="92">
        <f ca="1" t="shared" si="40"/>
        <v>0</v>
      </c>
      <c r="AB81" s="92">
        <f ca="1" t="shared" si="40"/>
        <v>0</v>
      </c>
      <c r="AC81" s="92">
        <f ca="1" t="shared" si="40"/>
        <v>0</v>
      </c>
      <c r="AD81" s="92">
        <f ca="1" t="shared" si="40"/>
        <v>0</v>
      </c>
      <c r="AE81" s="92">
        <f ca="1" t="shared" si="40"/>
        <v>0</v>
      </c>
      <c r="AF81" s="92">
        <f ca="1" t="shared" si="40"/>
        <v>0</v>
      </c>
      <c r="AG81" s="92">
        <f ca="1" t="shared" si="40"/>
        <v>0</v>
      </c>
      <c r="AH81" s="92">
        <f ca="1" t="shared" si="40"/>
        <v>0</v>
      </c>
      <c r="AI81" s="92">
        <f ca="1" t="shared" si="40"/>
        <v>0</v>
      </c>
      <c r="AJ81" s="92">
        <f ca="1" t="shared" si="41"/>
        <v>0</v>
      </c>
      <c r="AK81" s="92">
        <f ca="1" t="shared" si="41"/>
        <v>0</v>
      </c>
      <c r="AL81" s="92">
        <f ca="1" t="shared" si="41"/>
        <v>0</v>
      </c>
      <c r="AM81" s="92">
        <f ca="1" t="shared" si="41"/>
        <v>0</v>
      </c>
      <c r="AN81" s="92">
        <f ca="1" t="shared" si="41"/>
        <v>0</v>
      </c>
      <c r="AO81" s="93">
        <f ca="1" t="shared" si="41"/>
        <v>0</v>
      </c>
    </row>
    <row r="82" spans="1:41" ht="12.75">
      <c r="A82" s="119">
        <f>IF(A81="","",IF(EOMONTH(A81,0)+1&gt;RunDat,"",EOMONTH(A81,0)+1))</f>
        <v>36739</v>
      </c>
      <c r="B82" s="120"/>
      <c r="C82" s="121"/>
      <c r="D82" s="92">
        <f t="shared" si="29"/>
        <v>303902</v>
      </c>
      <c r="E82" s="120"/>
      <c r="F82" s="92">
        <f ca="1" t="shared" si="38"/>
        <v>9415</v>
      </c>
      <c r="G82" s="92">
        <f ca="1" t="shared" si="38"/>
        <v>139851</v>
      </c>
      <c r="H82" s="92">
        <f ca="1" t="shared" si="38"/>
        <v>101785</v>
      </c>
      <c r="I82" s="92">
        <f ca="1" t="shared" si="38"/>
        <v>7991</v>
      </c>
      <c r="J82" s="92">
        <f ca="1" t="shared" si="38"/>
        <v>10480</v>
      </c>
      <c r="K82" s="92">
        <f ca="1" t="shared" si="38"/>
        <v>2477</v>
      </c>
      <c r="L82" s="92">
        <f ca="1" t="shared" si="38"/>
        <v>22338</v>
      </c>
      <c r="M82" s="92">
        <f ca="1" t="shared" si="38"/>
        <v>732</v>
      </c>
      <c r="N82" s="92">
        <f ca="1" t="shared" si="38"/>
        <v>203</v>
      </c>
      <c r="O82" s="92">
        <f ca="1" t="shared" si="38"/>
        <v>213</v>
      </c>
      <c r="P82" s="92">
        <f ca="1" t="shared" si="39"/>
        <v>6985</v>
      </c>
      <c r="Q82" s="92">
        <f ca="1" t="shared" si="39"/>
        <v>1432</v>
      </c>
      <c r="R82" s="92">
        <f ca="1" t="shared" si="39"/>
        <v>0</v>
      </c>
      <c r="S82" s="92">
        <f ca="1" t="shared" si="39"/>
        <v>0</v>
      </c>
      <c r="T82" s="92">
        <f ca="1" t="shared" si="39"/>
        <v>0</v>
      </c>
      <c r="U82" s="92">
        <f ca="1" t="shared" si="39"/>
        <v>0</v>
      </c>
      <c r="V82" s="92">
        <f ca="1" t="shared" si="39"/>
        <v>0</v>
      </c>
      <c r="W82" s="92">
        <f ca="1" t="shared" si="39"/>
        <v>0</v>
      </c>
      <c r="X82" s="92">
        <f ca="1" t="shared" si="39"/>
        <v>0</v>
      </c>
      <c r="Y82" s="92">
        <f ca="1" t="shared" si="39"/>
        <v>0</v>
      </c>
      <c r="Z82" s="92">
        <f ca="1" t="shared" si="40"/>
        <v>0</v>
      </c>
      <c r="AA82" s="92">
        <f ca="1" t="shared" si="40"/>
        <v>0</v>
      </c>
      <c r="AB82" s="92">
        <f ca="1" t="shared" si="40"/>
        <v>0</v>
      </c>
      <c r="AC82" s="92">
        <f ca="1" t="shared" si="40"/>
        <v>0</v>
      </c>
      <c r="AD82" s="92">
        <f ca="1" t="shared" si="40"/>
        <v>0</v>
      </c>
      <c r="AE82" s="92">
        <f ca="1" t="shared" si="40"/>
        <v>0</v>
      </c>
      <c r="AF82" s="92">
        <f ca="1" t="shared" si="40"/>
        <v>0</v>
      </c>
      <c r="AG82" s="92">
        <f ca="1" t="shared" si="40"/>
        <v>0</v>
      </c>
      <c r="AH82" s="92">
        <f ca="1" t="shared" si="40"/>
        <v>0</v>
      </c>
      <c r="AI82" s="92">
        <f ca="1" t="shared" si="40"/>
        <v>0</v>
      </c>
      <c r="AJ82" s="92">
        <f ca="1" t="shared" si="41"/>
        <v>0</v>
      </c>
      <c r="AK82" s="92">
        <f ca="1" t="shared" si="41"/>
        <v>0</v>
      </c>
      <c r="AL82" s="92">
        <f ca="1" t="shared" si="41"/>
        <v>0</v>
      </c>
      <c r="AM82" s="92">
        <f ca="1" t="shared" si="41"/>
        <v>0</v>
      </c>
      <c r="AN82" s="92">
        <f ca="1" t="shared" si="41"/>
        <v>0</v>
      </c>
      <c r="AO82" s="93">
        <f ca="1" t="shared" si="41"/>
        <v>0</v>
      </c>
    </row>
    <row r="83" spans="1:41" ht="12.75">
      <c r="A83" s="119">
        <f>IF(A82="","",IF(EOMONTH(A82,0)+1&gt;RunDat,"",EOMONTH(A82,0)+1))</f>
        <v>36770</v>
      </c>
      <c r="B83" s="120"/>
      <c r="C83" s="121"/>
      <c r="D83" s="92">
        <f t="shared" si="29"/>
        <v>175175</v>
      </c>
      <c r="E83" s="120"/>
      <c r="F83" s="92">
        <f ca="1" t="shared" si="38"/>
        <v>31473</v>
      </c>
      <c r="G83" s="92">
        <f ca="1" t="shared" si="38"/>
        <v>48503</v>
      </c>
      <c r="H83" s="92">
        <f ca="1" t="shared" si="38"/>
        <v>32541</v>
      </c>
      <c r="I83" s="92">
        <f ca="1" t="shared" si="38"/>
        <v>23437</v>
      </c>
      <c r="J83" s="92">
        <f ca="1" t="shared" si="38"/>
        <v>8209</v>
      </c>
      <c r="K83" s="92">
        <f ca="1" t="shared" si="38"/>
        <v>-259</v>
      </c>
      <c r="L83" s="92">
        <f ca="1" t="shared" si="38"/>
        <v>22318</v>
      </c>
      <c r="M83" s="92">
        <f ca="1" t="shared" si="38"/>
        <v>-1676</v>
      </c>
      <c r="N83" s="92">
        <f ca="1" t="shared" si="38"/>
        <v>127</v>
      </c>
      <c r="O83" s="92">
        <f ca="1" t="shared" si="38"/>
        <v>3333</v>
      </c>
      <c r="P83" s="92">
        <f ca="1" t="shared" si="39"/>
        <v>6942</v>
      </c>
      <c r="Q83" s="92">
        <f ca="1" t="shared" si="39"/>
        <v>227</v>
      </c>
      <c r="R83" s="92">
        <f ca="1" t="shared" si="39"/>
        <v>0</v>
      </c>
      <c r="S83" s="92">
        <f ca="1" t="shared" si="39"/>
        <v>0</v>
      </c>
      <c r="T83" s="92">
        <f ca="1" t="shared" si="39"/>
        <v>0</v>
      </c>
      <c r="U83" s="92">
        <f ca="1" t="shared" si="39"/>
        <v>0</v>
      </c>
      <c r="V83" s="92">
        <f ca="1" t="shared" si="39"/>
        <v>0</v>
      </c>
      <c r="W83" s="92">
        <f ca="1" t="shared" si="39"/>
        <v>0</v>
      </c>
      <c r="X83" s="92">
        <f ca="1" t="shared" si="39"/>
        <v>0</v>
      </c>
      <c r="Y83" s="92">
        <f ca="1" t="shared" si="39"/>
        <v>0</v>
      </c>
      <c r="Z83" s="92">
        <f ca="1" t="shared" si="40"/>
        <v>0</v>
      </c>
      <c r="AA83" s="92">
        <f ca="1" t="shared" si="40"/>
        <v>0</v>
      </c>
      <c r="AB83" s="92">
        <f ca="1" t="shared" si="40"/>
        <v>0</v>
      </c>
      <c r="AC83" s="92">
        <f ca="1" t="shared" si="40"/>
        <v>0</v>
      </c>
      <c r="AD83" s="92">
        <f ca="1" t="shared" si="40"/>
        <v>0</v>
      </c>
      <c r="AE83" s="92">
        <f ca="1" t="shared" si="40"/>
        <v>0</v>
      </c>
      <c r="AF83" s="92">
        <f ca="1" t="shared" si="40"/>
        <v>0</v>
      </c>
      <c r="AG83" s="92">
        <f ca="1" t="shared" si="40"/>
        <v>0</v>
      </c>
      <c r="AH83" s="92">
        <f ca="1" t="shared" si="40"/>
        <v>0</v>
      </c>
      <c r="AI83" s="92">
        <f ca="1" t="shared" si="40"/>
        <v>0</v>
      </c>
      <c r="AJ83" s="92">
        <f ca="1" t="shared" si="41"/>
        <v>0</v>
      </c>
      <c r="AK83" s="92">
        <f ca="1" t="shared" si="41"/>
        <v>0</v>
      </c>
      <c r="AL83" s="92">
        <f ca="1" t="shared" si="41"/>
        <v>0</v>
      </c>
      <c r="AM83" s="92">
        <f ca="1" t="shared" si="41"/>
        <v>0</v>
      </c>
      <c r="AN83" s="92">
        <f ca="1" t="shared" si="41"/>
        <v>0</v>
      </c>
      <c r="AO83" s="93">
        <f ca="1" t="shared" si="41"/>
        <v>0</v>
      </c>
    </row>
    <row r="84" spans="1:41" ht="12.75">
      <c r="A84" s="119">
        <f>IF(A83="","",IF(EOMONTH(A83,0)+1&gt;RunDat,"",EOMONTH(A83,0)+1))</f>
        <v>36800</v>
      </c>
      <c r="B84" s="120"/>
      <c r="C84" s="121"/>
      <c r="D84" s="92">
        <f t="shared" si="29"/>
        <v>340628</v>
      </c>
      <c r="E84" s="120"/>
      <c r="F84" s="92">
        <f ca="1" t="shared" si="38"/>
        <v>4419</v>
      </c>
      <c r="G84" s="92">
        <f ca="1" t="shared" si="38"/>
        <v>178666</v>
      </c>
      <c r="H84" s="92">
        <f ca="1" t="shared" si="38"/>
        <v>127444</v>
      </c>
      <c r="I84" s="92">
        <f ca="1" t="shared" si="38"/>
        <v>7864</v>
      </c>
      <c r="J84" s="92">
        <f ca="1" t="shared" si="38"/>
        <v>14176</v>
      </c>
      <c r="K84" s="92">
        <f ca="1" t="shared" si="38"/>
        <v>-471</v>
      </c>
      <c r="L84" s="92">
        <f ca="1" t="shared" si="38"/>
        <v>5261</v>
      </c>
      <c r="M84" s="92">
        <f ca="1" t="shared" si="38"/>
        <v>-1662</v>
      </c>
      <c r="N84" s="92">
        <f ca="1" t="shared" si="38"/>
        <v>677</v>
      </c>
      <c r="O84" s="92">
        <f ca="1" t="shared" si="38"/>
        <v>3206</v>
      </c>
      <c r="P84" s="92">
        <f ca="1" t="shared" si="39"/>
        <v>581</v>
      </c>
      <c r="Q84" s="92">
        <f ca="1" t="shared" si="39"/>
        <v>227</v>
      </c>
      <c r="R84" s="92">
        <f ca="1" t="shared" si="39"/>
        <v>240</v>
      </c>
      <c r="S84" s="92">
        <f ca="1" t="shared" si="39"/>
        <v>0</v>
      </c>
      <c r="T84" s="92">
        <f ca="1" t="shared" si="39"/>
        <v>0</v>
      </c>
      <c r="U84" s="92">
        <f ca="1" t="shared" si="39"/>
        <v>0</v>
      </c>
      <c r="V84" s="92">
        <f ca="1" t="shared" si="39"/>
        <v>0</v>
      </c>
      <c r="W84" s="92">
        <f ca="1" t="shared" si="39"/>
        <v>0</v>
      </c>
      <c r="X84" s="92">
        <f ca="1" t="shared" si="39"/>
        <v>0</v>
      </c>
      <c r="Y84" s="92">
        <f ca="1" t="shared" si="39"/>
        <v>0</v>
      </c>
      <c r="Z84" s="92">
        <f ca="1" t="shared" si="40"/>
        <v>0</v>
      </c>
      <c r="AA84" s="92">
        <f ca="1" t="shared" si="40"/>
        <v>0</v>
      </c>
      <c r="AB84" s="92">
        <f ca="1" t="shared" si="40"/>
        <v>0</v>
      </c>
      <c r="AC84" s="92">
        <f ca="1" t="shared" si="40"/>
        <v>0</v>
      </c>
      <c r="AD84" s="92">
        <f ca="1" t="shared" si="40"/>
        <v>0</v>
      </c>
      <c r="AE84" s="92">
        <f ca="1" t="shared" si="40"/>
        <v>0</v>
      </c>
      <c r="AF84" s="92">
        <f ca="1" t="shared" si="40"/>
        <v>0</v>
      </c>
      <c r="AG84" s="92">
        <f ca="1" t="shared" si="40"/>
        <v>0</v>
      </c>
      <c r="AH84" s="92">
        <f ca="1" t="shared" si="40"/>
        <v>0</v>
      </c>
      <c r="AI84" s="92">
        <f ca="1" t="shared" si="40"/>
        <v>0</v>
      </c>
      <c r="AJ84" s="92">
        <f ca="1" t="shared" si="41"/>
        <v>0</v>
      </c>
      <c r="AK84" s="92">
        <f ca="1" t="shared" si="41"/>
        <v>0</v>
      </c>
      <c r="AL84" s="92">
        <f ca="1" t="shared" si="41"/>
        <v>0</v>
      </c>
      <c r="AM84" s="92">
        <f ca="1" t="shared" si="41"/>
        <v>0</v>
      </c>
      <c r="AN84" s="92">
        <f ca="1" t="shared" si="41"/>
        <v>0</v>
      </c>
      <c r="AO84" s="93">
        <f ca="1" t="shared" si="41"/>
        <v>0</v>
      </c>
    </row>
    <row r="85" spans="1:41" ht="12.75">
      <c r="A85" s="119">
        <f>IF(A84="","",IF(EOMONTH(A84,0)+1&gt;RunDat,"",EOMONTH(A84,0)+1))</f>
        <v>36831</v>
      </c>
      <c r="B85" s="120"/>
      <c r="C85" s="121"/>
      <c r="D85" s="92">
        <f t="shared" si="29"/>
        <v>111845</v>
      </c>
      <c r="E85" s="120"/>
      <c r="F85" s="92">
        <f ca="1" t="shared" si="38"/>
        <v>31361</v>
      </c>
      <c r="G85" s="92">
        <f ca="1" t="shared" si="38"/>
        <v>34068</v>
      </c>
      <c r="H85" s="92">
        <f ca="1" t="shared" si="38"/>
        <v>9928</v>
      </c>
      <c r="I85" s="92">
        <f ca="1" t="shared" si="38"/>
        <v>9062</v>
      </c>
      <c r="J85" s="92">
        <f ca="1" t="shared" si="38"/>
        <v>8316</v>
      </c>
      <c r="K85" s="92">
        <f ca="1" t="shared" si="38"/>
        <v>11759</v>
      </c>
      <c r="L85" s="92">
        <f ca="1" t="shared" si="38"/>
        <v>4997</v>
      </c>
      <c r="M85" s="92">
        <f ca="1" t="shared" si="38"/>
        <v>430</v>
      </c>
      <c r="N85" s="92">
        <f ca="1" t="shared" si="38"/>
        <v>677</v>
      </c>
      <c r="O85" s="92">
        <f ca="1" t="shared" si="38"/>
        <v>280</v>
      </c>
      <c r="P85" s="92">
        <f ca="1" t="shared" si="39"/>
        <v>581</v>
      </c>
      <c r="Q85" s="92">
        <f ca="1" t="shared" si="39"/>
        <v>90</v>
      </c>
      <c r="R85" s="92">
        <f ca="1" t="shared" si="39"/>
        <v>240</v>
      </c>
      <c r="S85" s="92">
        <f ca="1" t="shared" si="39"/>
        <v>56</v>
      </c>
      <c r="T85" s="92">
        <f ca="1" t="shared" si="39"/>
        <v>0</v>
      </c>
      <c r="U85" s="92">
        <f ca="1" t="shared" si="39"/>
        <v>0</v>
      </c>
      <c r="V85" s="92">
        <f ca="1" t="shared" si="39"/>
        <v>0</v>
      </c>
      <c r="W85" s="92">
        <f ca="1" t="shared" si="39"/>
        <v>0</v>
      </c>
      <c r="X85" s="92">
        <f ca="1" t="shared" si="39"/>
        <v>0</v>
      </c>
      <c r="Y85" s="92">
        <f ca="1" t="shared" si="39"/>
        <v>0</v>
      </c>
      <c r="Z85" s="92">
        <f ca="1" t="shared" si="40"/>
        <v>0</v>
      </c>
      <c r="AA85" s="92">
        <f ca="1" t="shared" si="40"/>
        <v>0</v>
      </c>
      <c r="AB85" s="92">
        <f ca="1" t="shared" si="40"/>
        <v>0</v>
      </c>
      <c r="AC85" s="92">
        <f ca="1" t="shared" si="40"/>
        <v>0</v>
      </c>
      <c r="AD85" s="92">
        <f ca="1" t="shared" si="40"/>
        <v>0</v>
      </c>
      <c r="AE85" s="92">
        <f ca="1" t="shared" si="40"/>
        <v>0</v>
      </c>
      <c r="AF85" s="92">
        <f ca="1" t="shared" si="40"/>
        <v>0</v>
      </c>
      <c r="AG85" s="92">
        <f ca="1" t="shared" si="40"/>
        <v>0</v>
      </c>
      <c r="AH85" s="92">
        <f ca="1" t="shared" si="40"/>
        <v>0</v>
      </c>
      <c r="AI85" s="92">
        <f ca="1" t="shared" si="40"/>
        <v>0</v>
      </c>
      <c r="AJ85" s="92">
        <f ca="1" t="shared" si="41"/>
        <v>0</v>
      </c>
      <c r="AK85" s="92">
        <f ca="1" t="shared" si="41"/>
        <v>0</v>
      </c>
      <c r="AL85" s="92">
        <f ca="1" t="shared" si="41"/>
        <v>0</v>
      </c>
      <c r="AM85" s="92">
        <f ca="1" t="shared" si="41"/>
        <v>0</v>
      </c>
      <c r="AN85" s="92">
        <f ca="1" t="shared" si="41"/>
        <v>0</v>
      </c>
      <c r="AO85" s="93">
        <f ca="1" t="shared" si="41"/>
        <v>0</v>
      </c>
    </row>
    <row r="86" spans="1:41" ht="12.75">
      <c r="A86" s="119">
        <f>IF(A85="","",IF(EOMONTH(A85,0)+1&gt;RunDat,"",EOMONTH(A85,0)+1))</f>
        <v>36861</v>
      </c>
      <c r="B86" s="120"/>
      <c r="C86" s="121"/>
      <c r="D86" s="92">
        <f t="shared" si="29"/>
        <v>178569</v>
      </c>
      <c r="E86" s="120"/>
      <c r="F86" s="92">
        <f ca="1" t="shared" si="38"/>
        <v>1804</v>
      </c>
      <c r="G86" s="92">
        <f ca="1" t="shared" si="38"/>
        <v>76026</v>
      </c>
      <c r="H86" s="92">
        <f ca="1" t="shared" si="38"/>
        <v>91527</v>
      </c>
      <c r="I86" s="92">
        <f ca="1" t="shared" si="38"/>
        <v>-5630</v>
      </c>
      <c r="J86" s="92">
        <f ca="1" t="shared" si="38"/>
        <v>2904</v>
      </c>
      <c r="K86" s="92">
        <f ca="1" t="shared" si="38"/>
        <v>2179</v>
      </c>
      <c r="L86" s="92">
        <f ca="1" t="shared" si="38"/>
        <v>7297</v>
      </c>
      <c r="M86" s="92">
        <f ca="1" t="shared" si="38"/>
        <v>430</v>
      </c>
      <c r="N86" s="92">
        <f ca="1" t="shared" si="38"/>
        <v>116</v>
      </c>
      <c r="O86" s="92">
        <f ca="1" t="shared" si="38"/>
        <v>779</v>
      </c>
      <c r="P86" s="92">
        <f ca="1" t="shared" si="39"/>
        <v>799</v>
      </c>
      <c r="Q86" s="92">
        <f ca="1" t="shared" si="39"/>
        <v>115</v>
      </c>
      <c r="R86" s="92">
        <f ca="1" t="shared" si="39"/>
        <v>167</v>
      </c>
      <c r="S86" s="92">
        <f ca="1" t="shared" si="39"/>
        <v>56</v>
      </c>
      <c r="T86" s="92">
        <f ca="1" t="shared" si="39"/>
        <v>0</v>
      </c>
      <c r="U86" s="92">
        <f ca="1" t="shared" si="39"/>
        <v>0</v>
      </c>
      <c r="V86" s="92">
        <f ca="1" t="shared" si="39"/>
        <v>0</v>
      </c>
      <c r="W86" s="92">
        <f ca="1" t="shared" si="39"/>
        <v>0</v>
      </c>
      <c r="X86" s="92">
        <f ca="1" t="shared" si="39"/>
        <v>0</v>
      </c>
      <c r="Y86" s="92">
        <f ca="1" t="shared" si="39"/>
        <v>0</v>
      </c>
      <c r="Z86" s="92">
        <f ca="1" t="shared" si="40"/>
        <v>0</v>
      </c>
      <c r="AA86" s="92">
        <f ca="1" t="shared" si="40"/>
        <v>0</v>
      </c>
      <c r="AB86" s="92">
        <f ca="1" t="shared" si="40"/>
        <v>0</v>
      </c>
      <c r="AC86" s="92">
        <f ca="1" t="shared" si="40"/>
        <v>0</v>
      </c>
      <c r="AD86" s="92">
        <f ca="1" t="shared" si="40"/>
        <v>0</v>
      </c>
      <c r="AE86" s="92">
        <f ca="1" t="shared" si="40"/>
        <v>0</v>
      </c>
      <c r="AF86" s="92">
        <f ca="1" t="shared" si="40"/>
        <v>0</v>
      </c>
      <c r="AG86" s="92">
        <f ca="1" t="shared" si="40"/>
        <v>0</v>
      </c>
      <c r="AH86" s="92">
        <f ca="1" t="shared" si="40"/>
        <v>0</v>
      </c>
      <c r="AI86" s="92">
        <f ca="1" t="shared" si="40"/>
        <v>0</v>
      </c>
      <c r="AJ86" s="92">
        <f ca="1" t="shared" si="41"/>
        <v>0</v>
      </c>
      <c r="AK86" s="92">
        <f ca="1" t="shared" si="41"/>
        <v>0</v>
      </c>
      <c r="AL86" s="92">
        <f ca="1" t="shared" si="41"/>
        <v>0</v>
      </c>
      <c r="AM86" s="92">
        <f ca="1" t="shared" si="41"/>
        <v>0</v>
      </c>
      <c r="AN86" s="92">
        <f ca="1" t="shared" si="41"/>
        <v>0</v>
      </c>
      <c r="AO86" s="93">
        <f ca="1" t="shared" si="41"/>
        <v>0</v>
      </c>
    </row>
    <row r="87" spans="1:41" ht="12.75">
      <c r="A87" s="119">
        <f>IF(A86="","",IF(EOMONTH(A86,0)+1&gt;RunDat,"",EOMONTH(A86,0)+1))</f>
        <v>36892</v>
      </c>
      <c r="B87" s="120"/>
      <c r="C87" s="121"/>
      <c r="D87" s="92">
        <f t="shared" si="29"/>
        <v>209740</v>
      </c>
      <c r="E87" s="120"/>
      <c r="F87" s="92">
        <f ca="1" t="shared" si="38"/>
        <v>19993</v>
      </c>
      <c r="G87" s="92">
        <f ca="1" t="shared" si="38"/>
        <v>66303</v>
      </c>
      <c r="H87" s="92">
        <f ca="1" t="shared" si="38"/>
        <v>56350</v>
      </c>
      <c r="I87" s="92">
        <f ca="1" t="shared" si="38"/>
        <v>34631</v>
      </c>
      <c r="J87" s="92">
        <f ca="1" t="shared" si="38"/>
        <v>1840</v>
      </c>
      <c r="K87" s="92">
        <f ca="1" t="shared" si="38"/>
        <v>14411</v>
      </c>
      <c r="L87" s="92">
        <f ca="1" t="shared" si="38"/>
        <v>7260</v>
      </c>
      <c r="M87" s="92">
        <f ca="1" t="shared" si="38"/>
        <v>472</v>
      </c>
      <c r="N87" s="92">
        <f ca="1" t="shared" si="38"/>
        <v>116</v>
      </c>
      <c r="O87" s="92">
        <f ca="1" t="shared" si="38"/>
        <v>1600</v>
      </c>
      <c r="P87" s="92">
        <f ca="1" t="shared" si="39"/>
        <v>195</v>
      </c>
      <c r="Q87" s="92">
        <f ca="1" t="shared" si="39"/>
        <v>6427</v>
      </c>
      <c r="R87" s="92">
        <f ca="1" t="shared" si="39"/>
        <v>142</v>
      </c>
      <c r="S87" s="92">
        <f ca="1" t="shared" si="39"/>
        <v>0</v>
      </c>
      <c r="T87" s="92">
        <f ca="1" t="shared" si="39"/>
        <v>0</v>
      </c>
      <c r="U87" s="92">
        <f ca="1" t="shared" si="39"/>
        <v>0</v>
      </c>
      <c r="V87" s="92">
        <f ca="1" t="shared" si="39"/>
        <v>0</v>
      </c>
      <c r="W87" s="92">
        <f ca="1" t="shared" si="39"/>
        <v>0</v>
      </c>
      <c r="X87" s="92">
        <f ca="1" t="shared" si="39"/>
        <v>0</v>
      </c>
      <c r="Y87" s="92">
        <f ca="1" t="shared" si="39"/>
        <v>0</v>
      </c>
      <c r="Z87" s="92">
        <f ca="1" t="shared" si="40"/>
        <v>0</v>
      </c>
      <c r="AA87" s="92">
        <f ca="1" t="shared" si="40"/>
        <v>0</v>
      </c>
      <c r="AB87" s="92">
        <f ca="1" t="shared" si="40"/>
        <v>0</v>
      </c>
      <c r="AC87" s="92">
        <f ca="1" t="shared" si="40"/>
        <v>0</v>
      </c>
      <c r="AD87" s="92">
        <f ca="1" t="shared" si="40"/>
        <v>0</v>
      </c>
      <c r="AE87" s="92">
        <f ca="1" t="shared" si="40"/>
        <v>0</v>
      </c>
      <c r="AF87" s="92">
        <f ca="1" t="shared" si="40"/>
        <v>0</v>
      </c>
      <c r="AG87" s="92">
        <f ca="1" t="shared" si="40"/>
        <v>0</v>
      </c>
      <c r="AH87" s="92">
        <f ca="1" t="shared" si="40"/>
        <v>0</v>
      </c>
      <c r="AI87" s="92">
        <f ca="1" t="shared" si="40"/>
        <v>0</v>
      </c>
      <c r="AJ87" s="92">
        <f ca="1" t="shared" si="41"/>
        <v>0</v>
      </c>
      <c r="AK87" s="92">
        <f ca="1" t="shared" si="41"/>
        <v>0</v>
      </c>
      <c r="AL87" s="92">
        <f ca="1" t="shared" si="41"/>
        <v>0</v>
      </c>
      <c r="AM87" s="92">
        <f ca="1" t="shared" si="41"/>
        <v>0</v>
      </c>
      <c r="AN87" s="92">
        <f ca="1" t="shared" si="41"/>
        <v>0</v>
      </c>
      <c r="AO87" s="93">
        <f ca="1" t="shared" si="41"/>
        <v>0</v>
      </c>
    </row>
    <row r="88" spans="1:41" ht="12.75">
      <c r="A88" s="119">
        <f>IF(A87="","",IF(EOMONTH(A87,0)+1&gt;RunDat,"",EOMONTH(A87,0)+1))</f>
        <v>36923</v>
      </c>
      <c r="B88" s="120"/>
      <c r="C88" s="121"/>
      <c r="D88" s="92">
        <f t="shared" si="29"/>
        <v>159131</v>
      </c>
      <c r="E88" s="120"/>
      <c r="F88" s="92">
        <f aca="true" ca="1" t="shared" si="42" ref="F88:O97">IF($A88="","",IF(OR(F$8&lt;=ROUND(DAYS360(ValDat,$A88,0)/30,0),F$8&gt;ROUND(DAYS360(ExpDat,$A88,0)/30,0)),0,OFFSET(F$45,MAX(-MNR,ROUND(DAYS360(ValDat,$A88,0)/30,0)-F$8+MEP-MNR),0,1,1)))</f>
        <v>240</v>
      </c>
      <c r="G88" s="92">
        <f ca="1" t="shared" si="42"/>
        <v>59964</v>
      </c>
      <c r="H88" s="92">
        <f ca="1" t="shared" si="42"/>
        <v>37667</v>
      </c>
      <c r="I88" s="92">
        <f ca="1" t="shared" si="42"/>
        <v>6484</v>
      </c>
      <c r="J88" s="92">
        <f ca="1" t="shared" si="42"/>
        <v>9161</v>
      </c>
      <c r="K88" s="92">
        <f ca="1" t="shared" si="42"/>
        <v>934</v>
      </c>
      <c r="L88" s="92">
        <f ca="1" t="shared" si="42"/>
        <v>14223</v>
      </c>
      <c r="M88" s="92">
        <f ca="1" t="shared" si="42"/>
        <v>300</v>
      </c>
      <c r="N88" s="92">
        <f ca="1" t="shared" si="42"/>
        <v>32</v>
      </c>
      <c r="O88" s="92">
        <f ca="1" t="shared" si="42"/>
        <v>1712</v>
      </c>
      <c r="P88" s="92">
        <f aca="true" ca="1" t="shared" si="43" ref="P88:Y97">IF($A88="","",IF(OR(P$8&lt;=ROUND(DAYS360(ValDat,$A88,0)/30,0),P$8&gt;ROUND(DAYS360(ExpDat,$A88,0)/30,0)),0,OFFSET(P$45,MAX(-MNR,ROUND(DAYS360(ValDat,$A88,0)/30,0)-P$8+MEP-MNR),0,1,1)))</f>
        <v>112</v>
      </c>
      <c r="Q88" s="92">
        <f ca="1" t="shared" si="43"/>
        <v>16998</v>
      </c>
      <c r="R88" s="92">
        <f ca="1" t="shared" si="43"/>
        <v>11304</v>
      </c>
      <c r="S88" s="92">
        <f ca="1" t="shared" si="43"/>
        <v>0</v>
      </c>
      <c r="T88" s="92">
        <f ca="1" t="shared" si="43"/>
        <v>0</v>
      </c>
      <c r="U88" s="92">
        <f ca="1" t="shared" si="43"/>
        <v>0</v>
      </c>
      <c r="V88" s="92">
        <f ca="1" t="shared" si="43"/>
        <v>0</v>
      </c>
      <c r="W88" s="92">
        <f ca="1" t="shared" si="43"/>
        <v>0</v>
      </c>
      <c r="X88" s="92">
        <f ca="1" t="shared" si="43"/>
        <v>0</v>
      </c>
      <c r="Y88" s="92">
        <f ca="1" t="shared" si="43"/>
        <v>0</v>
      </c>
      <c r="Z88" s="92">
        <f aca="true" ca="1" t="shared" si="44" ref="Z88:AI97">IF($A88="","",IF(OR(Z$8&lt;=ROUND(DAYS360(ValDat,$A88,0)/30,0),Z$8&gt;ROUND(DAYS360(ExpDat,$A88,0)/30,0)),0,OFFSET(Z$45,MAX(-MNR,ROUND(DAYS360(ValDat,$A88,0)/30,0)-Z$8+MEP-MNR),0,1,1)))</f>
        <v>0</v>
      </c>
      <c r="AA88" s="92">
        <f ca="1" t="shared" si="44"/>
        <v>0</v>
      </c>
      <c r="AB88" s="92">
        <f ca="1" t="shared" si="44"/>
        <v>0</v>
      </c>
      <c r="AC88" s="92">
        <f ca="1" t="shared" si="44"/>
        <v>0</v>
      </c>
      <c r="AD88" s="92">
        <f ca="1" t="shared" si="44"/>
        <v>0</v>
      </c>
      <c r="AE88" s="92">
        <f ca="1" t="shared" si="44"/>
        <v>0</v>
      </c>
      <c r="AF88" s="92">
        <f ca="1" t="shared" si="44"/>
        <v>0</v>
      </c>
      <c r="AG88" s="92">
        <f ca="1" t="shared" si="44"/>
        <v>0</v>
      </c>
      <c r="AH88" s="92">
        <f ca="1" t="shared" si="44"/>
        <v>0</v>
      </c>
      <c r="AI88" s="92">
        <f ca="1" t="shared" si="44"/>
        <v>0</v>
      </c>
      <c r="AJ88" s="92">
        <f aca="true" ca="1" t="shared" si="45" ref="AJ88:AO97">IF($A88="","",IF(OR(AJ$8&lt;=ROUND(DAYS360(ValDat,$A88,0)/30,0),AJ$8&gt;ROUND(DAYS360(ExpDat,$A88,0)/30,0)),0,OFFSET(AJ$45,MAX(-MNR,ROUND(DAYS360(ValDat,$A88,0)/30,0)-AJ$8+MEP-MNR),0,1,1)))</f>
        <v>0</v>
      </c>
      <c r="AK88" s="92">
        <f ca="1" t="shared" si="45"/>
        <v>0</v>
      </c>
      <c r="AL88" s="92">
        <f ca="1" t="shared" si="45"/>
        <v>0</v>
      </c>
      <c r="AM88" s="92">
        <f ca="1" t="shared" si="45"/>
        <v>0</v>
      </c>
      <c r="AN88" s="92">
        <f ca="1" t="shared" si="45"/>
        <v>0</v>
      </c>
      <c r="AO88" s="93">
        <f ca="1" t="shared" si="45"/>
        <v>0</v>
      </c>
    </row>
    <row r="89" spans="1:41" ht="12.75">
      <c r="A89" s="119">
        <f>IF(A88="","",IF(EOMONTH(A88,0)+1&gt;RunDat,"",EOMONTH(A88,0)+1))</f>
        <v>36951</v>
      </c>
      <c r="B89" s="120"/>
      <c r="C89" s="121"/>
      <c r="D89" s="92">
        <f t="shared" si="29"/>
        <v>103237</v>
      </c>
      <c r="E89" s="120"/>
      <c r="F89" s="92">
        <f ca="1" t="shared" si="42"/>
        <v>9046</v>
      </c>
      <c r="G89" s="92">
        <f ca="1" t="shared" si="42"/>
        <v>15910</v>
      </c>
      <c r="H89" s="92">
        <f ca="1" t="shared" si="42"/>
        <v>35539</v>
      </c>
      <c r="I89" s="92">
        <f ca="1" t="shared" si="42"/>
        <v>17053</v>
      </c>
      <c r="J89" s="92">
        <f ca="1" t="shared" si="42"/>
        <v>7803</v>
      </c>
      <c r="K89" s="92">
        <f ca="1" t="shared" si="42"/>
        <v>5596</v>
      </c>
      <c r="L89" s="92">
        <f ca="1" t="shared" si="42"/>
        <v>13701</v>
      </c>
      <c r="M89" s="92">
        <f ca="1" t="shared" si="42"/>
        <v>-3390</v>
      </c>
      <c r="N89" s="92">
        <f ca="1" t="shared" si="42"/>
        <v>32</v>
      </c>
      <c r="O89" s="92">
        <f ca="1" t="shared" si="42"/>
        <v>239</v>
      </c>
      <c r="P89" s="92">
        <f ca="1" t="shared" si="43"/>
        <v>166</v>
      </c>
      <c r="Q89" s="92">
        <f ca="1" t="shared" si="43"/>
        <v>166</v>
      </c>
      <c r="R89" s="92">
        <f ca="1" t="shared" si="43"/>
        <v>678</v>
      </c>
      <c r="S89" s="92">
        <f ca="1" t="shared" si="43"/>
        <v>519</v>
      </c>
      <c r="T89" s="92">
        <f ca="1" t="shared" si="43"/>
        <v>0</v>
      </c>
      <c r="U89" s="92">
        <f ca="1" t="shared" si="43"/>
        <v>179</v>
      </c>
      <c r="V89" s="92">
        <f ca="1" t="shared" si="43"/>
        <v>0</v>
      </c>
      <c r="W89" s="92">
        <f ca="1" t="shared" si="43"/>
        <v>0</v>
      </c>
      <c r="X89" s="92">
        <f ca="1" t="shared" si="43"/>
        <v>0</v>
      </c>
      <c r="Y89" s="92">
        <f ca="1" t="shared" si="43"/>
        <v>0</v>
      </c>
      <c r="Z89" s="92">
        <f ca="1" t="shared" si="44"/>
        <v>0</v>
      </c>
      <c r="AA89" s="92">
        <f ca="1" t="shared" si="44"/>
        <v>0</v>
      </c>
      <c r="AB89" s="92">
        <f ca="1" t="shared" si="44"/>
        <v>0</v>
      </c>
      <c r="AC89" s="92">
        <f ca="1" t="shared" si="44"/>
        <v>0</v>
      </c>
      <c r="AD89" s="92">
        <f ca="1" t="shared" si="44"/>
        <v>0</v>
      </c>
      <c r="AE89" s="92">
        <f ca="1" t="shared" si="44"/>
        <v>0</v>
      </c>
      <c r="AF89" s="92">
        <f ca="1" t="shared" si="44"/>
        <v>0</v>
      </c>
      <c r="AG89" s="92">
        <f ca="1" t="shared" si="44"/>
        <v>0</v>
      </c>
      <c r="AH89" s="92">
        <f ca="1" t="shared" si="44"/>
        <v>0</v>
      </c>
      <c r="AI89" s="92">
        <f ca="1" t="shared" si="44"/>
        <v>0</v>
      </c>
      <c r="AJ89" s="92">
        <f ca="1" t="shared" si="45"/>
        <v>0</v>
      </c>
      <c r="AK89" s="92">
        <f ca="1" t="shared" si="45"/>
        <v>0</v>
      </c>
      <c r="AL89" s="92">
        <f ca="1" t="shared" si="45"/>
        <v>0</v>
      </c>
      <c r="AM89" s="92">
        <f ca="1" t="shared" si="45"/>
        <v>0</v>
      </c>
      <c r="AN89" s="92">
        <f ca="1" t="shared" si="45"/>
        <v>0</v>
      </c>
      <c r="AO89" s="93">
        <f ca="1" t="shared" si="45"/>
        <v>0</v>
      </c>
    </row>
    <row r="90" spans="1:41" ht="12.75">
      <c r="A90" s="119">
        <f>IF(A89="","",IF(EOMONTH(A89,0)+1&gt;RunDat,"",EOMONTH(A89,0)+1))</f>
        <v>36982</v>
      </c>
      <c r="B90" s="120"/>
      <c r="C90" s="121"/>
      <c r="D90" s="92">
        <f t="shared" si="29"/>
        <v>104668</v>
      </c>
      <c r="E90" s="120"/>
      <c r="F90" s="92">
        <f ca="1" t="shared" si="42"/>
        <v>753</v>
      </c>
      <c r="G90" s="92">
        <f ca="1" t="shared" si="42"/>
        <v>43493</v>
      </c>
      <c r="H90" s="92">
        <f ca="1" t="shared" si="42"/>
        <v>39608</v>
      </c>
      <c r="I90" s="92">
        <f ca="1" t="shared" si="42"/>
        <v>9556</v>
      </c>
      <c r="J90" s="92">
        <f ca="1" t="shared" si="42"/>
        <v>2170</v>
      </c>
      <c r="K90" s="92">
        <f ca="1" t="shared" si="42"/>
        <v>5412</v>
      </c>
      <c r="L90" s="92">
        <f ca="1" t="shared" si="42"/>
        <v>4375</v>
      </c>
      <c r="M90" s="92">
        <f ca="1" t="shared" si="42"/>
        <v>-3004</v>
      </c>
      <c r="N90" s="92">
        <f ca="1" t="shared" si="42"/>
        <v>662</v>
      </c>
      <c r="O90" s="92">
        <f ca="1" t="shared" si="42"/>
        <v>239</v>
      </c>
      <c r="P90" s="92">
        <f ca="1" t="shared" si="43"/>
        <v>124</v>
      </c>
      <c r="Q90" s="92">
        <f ca="1" t="shared" si="43"/>
        <v>0</v>
      </c>
      <c r="R90" s="92">
        <f ca="1" t="shared" si="43"/>
        <v>152</v>
      </c>
      <c r="S90" s="92">
        <f ca="1" t="shared" si="43"/>
        <v>538</v>
      </c>
      <c r="T90" s="92">
        <f ca="1" t="shared" si="43"/>
        <v>19</v>
      </c>
      <c r="U90" s="92">
        <f ca="1" t="shared" si="43"/>
        <v>375</v>
      </c>
      <c r="V90" s="92">
        <f ca="1" t="shared" si="43"/>
        <v>196</v>
      </c>
      <c r="W90" s="92">
        <f ca="1" t="shared" si="43"/>
        <v>0</v>
      </c>
      <c r="X90" s="92">
        <f ca="1" t="shared" si="43"/>
        <v>0</v>
      </c>
      <c r="Y90" s="92">
        <f ca="1" t="shared" si="43"/>
        <v>0</v>
      </c>
      <c r="Z90" s="92">
        <f ca="1" t="shared" si="44"/>
        <v>0</v>
      </c>
      <c r="AA90" s="92">
        <f ca="1" t="shared" si="44"/>
        <v>0</v>
      </c>
      <c r="AB90" s="92">
        <f ca="1" t="shared" si="44"/>
        <v>0</v>
      </c>
      <c r="AC90" s="92">
        <f ca="1" t="shared" si="44"/>
        <v>0</v>
      </c>
      <c r="AD90" s="92">
        <f ca="1" t="shared" si="44"/>
        <v>0</v>
      </c>
      <c r="AE90" s="92">
        <f ca="1" t="shared" si="44"/>
        <v>0</v>
      </c>
      <c r="AF90" s="92">
        <f ca="1" t="shared" si="44"/>
        <v>0</v>
      </c>
      <c r="AG90" s="92">
        <f ca="1" t="shared" si="44"/>
        <v>0</v>
      </c>
      <c r="AH90" s="92">
        <f ca="1" t="shared" si="44"/>
        <v>0</v>
      </c>
      <c r="AI90" s="92">
        <f ca="1" t="shared" si="44"/>
        <v>0</v>
      </c>
      <c r="AJ90" s="92">
        <f ca="1" t="shared" si="45"/>
        <v>0</v>
      </c>
      <c r="AK90" s="92">
        <f ca="1" t="shared" si="45"/>
        <v>0</v>
      </c>
      <c r="AL90" s="92">
        <f ca="1" t="shared" si="45"/>
        <v>0</v>
      </c>
      <c r="AM90" s="92">
        <f ca="1" t="shared" si="45"/>
        <v>0</v>
      </c>
      <c r="AN90" s="92">
        <f ca="1" t="shared" si="45"/>
        <v>0</v>
      </c>
      <c r="AO90" s="93">
        <f ca="1" t="shared" si="45"/>
        <v>0</v>
      </c>
    </row>
    <row r="91" spans="1:41" ht="12.75">
      <c r="A91" s="119">
        <f>IF(A90="","",IF(EOMONTH(A90,0)+1&gt;RunDat,"",EOMONTH(A90,0)+1))</f>
        <v>37012</v>
      </c>
      <c r="B91" s="120"/>
      <c r="C91" s="121"/>
      <c r="D91" s="92">
        <f t="shared" si="29"/>
        <v>75719</v>
      </c>
      <c r="E91" s="120"/>
      <c r="F91" s="92">
        <f ca="1" t="shared" si="42"/>
        <v>12673</v>
      </c>
      <c r="G91" s="92">
        <f ca="1" t="shared" si="42"/>
        <v>13772</v>
      </c>
      <c r="H91" s="92">
        <f ca="1" t="shared" si="42"/>
        <v>7571</v>
      </c>
      <c r="I91" s="92">
        <f ca="1" t="shared" si="42"/>
        <v>6673</v>
      </c>
      <c r="J91" s="92">
        <f ca="1" t="shared" si="42"/>
        <v>13627</v>
      </c>
      <c r="K91" s="92">
        <f ca="1" t="shared" si="42"/>
        <v>13856</v>
      </c>
      <c r="L91" s="92">
        <f ca="1" t="shared" si="42"/>
        <v>341</v>
      </c>
      <c r="M91" s="92">
        <f ca="1" t="shared" si="42"/>
        <v>412</v>
      </c>
      <c r="N91" s="92">
        <f ca="1" t="shared" si="42"/>
        <v>306</v>
      </c>
      <c r="O91" s="92">
        <f ca="1" t="shared" si="42"/>
        <v>6212</v>
      </c>
      <c r="P91" s="92">
        <f ca="1" t="shared" si="43"/>
        <v>124</v>
      </c>
      <c r="Q91" s="92">
        <f ca="1" t="shared" si="43"/>
        <v>0</v>
      </c>
      <c r="R91" s="92">
        <f ca="1" t="shared" si="43"/>
        <v>152</v>
      </c>
      <c r="S91" s="92">
        <f ca="1" t="shared" si="43"/>
        <v>0</v>
      </c>
      <c r="T91" s="92">
        <f ca="1" t="shared" si="43"/>
        <v>0</v>
      </c>
      <c r="U91" s="92">
        <f ca="1" t="shared" si="43"/>
        <v>0</v>
      </c>
      <c r="V91" s="92">
        <f ca="1" t="shared" si="43"/>
        <v>0</v>
      </c>
      <c r="W91" s="92">
        <f ca="1" t="shared" si="43"/>
        <v>0</v>
      </c>
      <c r="X91" s="92">
        <f ca="1" t="shared" si="43"/>
        <v>0</v>
      </c>
      <c r="Y91" s="92">
        <f ca="1" t="shared" si="43"/>
        <v>0</v>
      </c>
      <c r="Z91" s="92">
        <f ca="1" t="shared" si="44"/>
        <v>0</v>
      </c>
      <c r="AA91" s="92">
        <f ca="1" t="shared" si="44"/>
        <v>0</v>
      </c>
      <c r="AB91" s="92">
        <f ca="1" t="shared" si="44"/>
        <v>0</v>
      </c>
      <c r="AC91" s="92">
        <f ca="1" t="shared" si="44"/>
        <v>0</v>
      </c>
      <c r="AD91" s="92">
        <f ca="1" t="shared" si="44"/>
        <v>0</v>
      </c>
      <c r="AE91" s="92">
        <f ca="1" t="shared" si="44"/>
        <v>0</v>
      </c>
      <c r="AF91" s="92">
        <f ca="1" t="shared" si="44"/>
        <v>0</v>
      </c>
      <c r="AG91" s="92">
        <f ca="1" t="shared" si="44"/>
        <v>0</v>
      </c>
      <c r="AH91" s="92">
        <f ca="1" t="shared" si="44"/>
        <v>0</v>
      </c>
      <c r="AI91" s="92">
        <f ca="1" t="shared" si="44"/>
        <v>0</v>
      </c>
      <c r="AJ91" s="92">
        <f ca="1" t="shared" si="45"/>
        <v>0</v>
      </c>
      <c r="AK91" s="92">
        <f ca="1" t="shared" si="45"/>
        <v>0</v>
      </c>
      <c r="AL91" s="92">
        <f ca="1" t="shared" si="45"/>
        <v>0</v>
      </c>
      <c r="AM91" s="92">
        <f ca="1" t="shared" si="45"/>
        <v>0</v>
      </c>
      <c r="AN91" s="92">
        <f ca="1" t="shared" si="45"/>
        <v>0</v>
      </c>
      <c r="AO91" s="93">
        <f ca="1" t="shared" si="45"/>
        <v>0</v>
      </c>
    </row>
    <row r="92" spans="1:41" ht="12.75">
      <c r="A92" s="119">
        <f>IF(A91="","",IF(EOMONTH(A91,0)+1&gt;RunDat,"",EOMONTH(A91,0)+1))</f>
        <v>37043</v>
      </c>
      <c r="B92" s="120"/>
      <c r="C92" s="121"/>
      <c r="D92" s="92">
        <f t="shared" si="29"/>
        <v>48861</v>
      </c>
      <c r="E92" s="120"/>
      <c r="F92" s="92">
        <f ca="1" t="shared" si="42"/>
        <v>0</v>
      </c>
      <c r="G92" s="92">
        <f ca="1" t="shared" si="42"/>
        <v>20961</v>
      </c>
      <c r="H92" s="92">
        <f ca="1" t="shared" si="42"/>
        <v>13968</v>
      </c>
      <c r="I92" s="92">
        <f ca="1" t="shared" si="42"/>
        <v>5995</v>
      </c>
      <c r="J92" s="92">
        <f ca="1" t="shared" si="42"/>
        <v>2288</v>
      </c>
      <c r="K92" s="92">
        <f ca="1" t="shared" si="42"/>
        <v>342</v>
      </c>
      <c r="L92" s="92">
        <f ca="1" t="shared" si="42"/>
        <v>1103</v>
      </c>
      <c r="M92" s="92">
        <f ca="1" t="shared" si="42"/>
        <v>1097</v>
      </c>
      <c r="N92" s="92">
        <f ca="1" t="shared" si="42"/>
        <v>1128</v>
      </c>
      <c r="O92" s="92">
        <f ca="1" t="shared" si="42"/>
        <v>1265</v>
      </c>
      <c r="P92" s="92">
        <f ca="1" t="shared" si="43"/>
        <v>33</v>
      </c>
      <c r="Q92" s="92">
        <f ca="1" t="shared" si="43"/>
        <v>211</v>
      </c>
      <c r="R92" s="92">
        <f ca="1" t="shared" si="43"/>
        <v>7</v>
      </c>
      <c r="S92" s="92">
        <f ca="1" t="shared" si="43"/>
        <v>0</v>
      </c>
      <c r="T92" s="92">
        <f ca="1" t="shared" si="43"/>
        <v>282</v>
      </c>
      <c r="U92" s="92">
        <f ca="1" t="shared" si="43"/>
        <v>84</v>
      </c>
      <c r="V92" s="92">
        <f ca="1" t="shared" si="43"/>
        <v>97</v>
      </c>
      <c r="W92" s="92">
        <f ca="1" t="shared" si="43"/>
        <v>0</v>
      </c>
      <c r="X92" s="92">
        <f ca="1" t="shared" si="43"/>
        <v>0</v>
      </c>
      <c r="Y92" s="92">
        <f ca="1" t="shared" si="43"/>
        <v>0</v>
      </c>
      <c r="Z92" s="92">
        <f ca="1" t="shared" si="44"/>
        <v>0</v>
      </c>
      <c r="AA92" s="92">
        <f ca="1" t="shared" si="44"/>
        <v>0</v>
      </c>
      <c r="AB92" s="92">
        <f ca="1" t="shared" si="44"/>
        <v>0</v>
      </c>
      <c r="AC92" s="92">
        <f ca="1" t="shared" si="44"/>
        <v>0</v>
      </c>
      <c r="AD92" s="92">
        <f ca="1" t="shared" si="44"/>
        <v>0</v>
      </c>
      <c r="AE92" s="92">
        <f ca="1" t="shared" si="44"/>
        <v>0</v>
      </c>
      <c r="AF92" s="92">
        <f ca="1" t="shared" si="44"/>
        <v>0</v>
      </c>
      <c r="AG92" s="92">
        <f ca="1" t="shared" si="44"/>
        <v>0</v>
      </c>
      <c r="AH92" s="92">
        <f ca="1" t="shared" si="44"/>
        <v>0</v>
      </c>
      <c r="AI92" s="92">
        <f ca="1" t="shared" si="44"/>
        <v>0</v>
      </c>
      <c r="AJ92" s="92">
        <f ca="1" t="shared" si="45"/>
        <v>0</v>
      </c>
      <c r="AK92" s="92">
        <f ca="1" t="shared" si="45"/>
        <v>0</v>
      </c>
      <c r="AL92" s="92">
        <f ca="1" t="shared" si="45"/>
        <v>0</v>
      </c>
      <c r="AM92" s="92">
        <f ca="1" t="shared" si="45"/>
        <v>0</v>
      </c>
      <c r="AN92" s="92">
        <f ca="1" t="shared" si="45"/>
        <v>0</v>
      </c>
      <c r="AO92" s="93">
        <f ca="1" t="shared" si="45"/>
        <v>0</v>
      </c>
    </row>
    <row r="93" spans="1:41" ht="12.75">
      <c r="A93" s="119">
        <f>IF(A92="","",IF(EOMONTH(A92,0)+1&gt;RunDat,"",EOMONTH(A92,0)+1))</f>
        <v>37073</v>
      </c>
      <c r="B93" s="120"/>
      <c r="C93" s="121"/>
      <c r="D93" s="92">
        <f t="shared" si="29"/>
        <v>33348</v>
      </c>
      <c r="E93" s="120"/>
      <c r="F93" s="92">
        <f ca="1" t="shared" si="42"/>
        <v>0</v>
      </c>
      <c r="G93" s="92">
        <f ca="1" t="shared" si="42"/>
        <v>0</v>
      </c>
      <c r="H93" s="92">
        <f ca="1" t="shared" si="42"/>
        <v>6855</v>
      </c>
      <c r="I93" s="92">
        <f ca="1" t="shared" si="42"/>
        <v>12573</v>
      </c>
      <c r="J93" s="92">
        <f ca="1" t="shared" si="42"/>
        <v>3715</v>
      </c>
      <c r="K93" s="92">
        <f ca="1" t="shared" si="42"/>
        <v>4935</v>
      </c>
      <c r="L93" s="92">
        <f ca="1" t="shared" si="42"/>
        <v>1024</v>
      </c>
      <c r="M93" s="92">
        <f ca="1" t="shared" si="42"/>
        <v>1737</v>
      </c>
      <c r="N93" s="92">
        <f ca="1" t="shared" si="42"/>
        <v>517</v>
      </c>
      <c r="O93" s="92">
        <f ca="1" t="shared" si="42"/>
        <v>1357</v>
      </c>
      <c r="P93" s="92">
        <f ca="1" t="shared" si="43"/>
        <v>0</v>
      </c>
      <c r="Q93" s="92">
        <f ca="1" t="shared" si="43"/>
        <v>0</v>
      </c>
      <c r="R93" s="92">
        <f ca="1" t="shared" si="43"/>
        <v>-204</v>
      </c>
      <c r="S93" s="92">
        <f ca="1" t="shared" si="43"/>
        <v>460</v>
      </c>
      <c r="T93" s="92">
        <f ca="1" t="shared" si="43"/>
        <v>282</v>
      </c>
      <c r="U93" s="92">
        <f ca="1" t="shared" si="43"/>
        <v>75</v>
      </c>
      <c r="V93" s="92">
        <f ca="1" t="shared" si="43"/>
        <v>13</v>
      </c>
      <c r="W93" s="92">
        <f ca="1" t="shared" si="43"/>
        <v>9</v>
      </c>
      <c r="X93" s="92">
        <f ca="1" t="shared" si="43"/>
        <v>0</v>
      </c>
      <c r="Y93" s="92">
        <f ca="1" t="shared" si="43"/>
        <v>0</v>
      </c>
      <c r="Z93" s="92">
        <f ca="1" t="shared" si="44"/>
        <v>0</v>
      </c>
      <c r="AA93" s="92">
        <f ca="1" t="shared" si="44"/>
        <v>0</v>
      </c>
      <c r="AB93" s="92">
        <f ca="1" t="shared" si="44"/>
        <v>0</v>
      </c>
      <c r="AC93" s="92">
        <f ca="1" t="shared" si="44"/>
        <v>0</v>
      </c>
      <c r="AD93" s="92">
        <f ca="1" t="shared" si="44"/>
        <v>0</v>
      </c>
      <c r="AE93" s="92">
        <f ca="1" t="shared" si="44"/>
        <v>0</v>
      </c>
      <c r="AF93" s="92">
        <f ca="1" t="shared" si="44"/>
        <v>0</v>
      </c>
      <c r="AG93" s="92">
        <f ca="1" t="shared" si="44"/>
        <v>0</v>
      </c>
      <c r="AH93" s="92">
        <f ca="1" t="shared" si="44"/>
        <v>0</v>
      </c>
      <c r="AI93" s="92">
        <f ca="1" t="shared" si="44"/>
        <v>0</v>
      </c>
      <c r="AJ93" s="92">
        <f ca="1" t="shared" si="45"/>
        <v>0</v>
      </c>
      <c r="AK93" s="92">
        <f ca="1" t="shared" si="45"/>
        <v>0</v>
      </c>
      <c r="AL93" s="92">
        <f ca="1" t="shared" si="45"/>
        <v>0</v>
      </c>
      <c r="AM93" s="92">
        <f ca="1" t="shared" si="45"/>
        <v>0</v>
      </c>
      <c r="AN93" s="92">
        <f ca="1" t="shared" si="45"/>
        <v>0</v>
      </c>
      <c r="AO93" s="93">
        <f ca="1" t="shared" si="45"/>
        <v>0</v>
      </c>
    </row>
    <row r="94" spans="1:41" ht="12.75">
      <c r="A94" s="119">
        <f>IF(A93="","",IF(EOMONTH(A93,0)+1&gt;RunDat,"",EOMONTH(A93,0)+1))</f>
      </c>
      <c r="B94" s="120"/>
      <c r="C94" s="121"/>
      <c r="D94" s="92">
        <f t="shared" si="29"/>
      </c>
      <c r="E94" s="120"/>
      <c r="F94" s="92">
        <f ca="1" t="shared" si="42"/>
      </c>
      <c r="G94" s="92">
        <f ca="1" t="shared" si="42"/>
      </c>
      <c r="H94" s="92">
        <f ca="1" t="shared" si="42"/>
      </c>
      <c r="I94" s="92">
        <f ca="1" t="shared" si="42"/>
      </c>
      <c r="J94" s="92">
        <f ca="1" t="shared" si="42"/>
      </c>
      <c r="K94" s="92">
        <f ca="1" t="shared" si="42"/>
      </c>
      <c r="L94" s="92">
        <f ca="1" t="shared" si="42"/>
      </c>
      <c r="M94" s="92">
        <f ca="1" t="shared" si="42"/>
      </c>
      <c r="N94" s="92">
        <f ca="1" t="shared" si="42"/>
      </c>
      <c r="O94" s="92">
        <f ca="1" t="shared" si="42"/>
      </c>
      <c r="P94" s="92">
        <f ca="1" t="shared" si="43"/>
      </c>
      <c r="Q94" s="92">
        <f ca="1" t="shared" si="43"/>
      </c>
      <c r="R94" s="92">
        <f ca="1" t="shared" si="43"/>
      </c>
      <c r="S94" s="92">
        <f ca="1" t="shared" si="43"/>
      </c>
      <c r="T94" s="92">
        <f ca="1" t="shared" si="43"/>
      </c>
      <c r="U94" s="92">
        <f ca="1" t="shared" si="43"/>
      </c>
      <c r="V94" s="92">
        <f ca="1" t="shared" si="43"/>
      </c>
      <c r="W94" s="92">
        <f ca="1" t="shared" si="43"/>
      </c>
      <c r="X94" s="92">
        <f ca="1" t="shared" si="43"/>
      </c>
      <c r="Y94" s="92">
        <f ca="1" t="shared" si="43"/>
      </c>
      <c r="Z94" s="92">
        <f ca="1" t="shared" si="44"/>
      </c>
      <c r="AA94" s="92">
        <f ca="1" t="shared" si="44"/>
      </c>
      <c r="AB94" s="92">
        <f ca="1" t="shared" si="44"/>
      </c>
      <c r="AC94" s="92">
        <f ca="1" t="shared" si="44"/>
      </c>
      <c r="AD94" s="92">
        <f ca="1" t="shared" si="44"/>
      </c>
      <c r="AE94" s="92">
        <f ca="1" t="shared" si="44"/>
      </c>
      <c r="AF94" s="92">
        <f ca="1" t="shared" si="44"/>
      </c>
      <c r="AG94" s="92">
        <f ca="1" t="shared" si="44"/>
      </c>
      <c r="AH94" s="92">
        <f ca="1" t="shared" si="44"/>
      </c>
      <c r="AI94" s="92">
        <f ca="1" t="shared" si="44"/>
      </c>
      <c r="AJ94" s="92">
        <f ca="1" t="shared" si="45"/>
      </c>
      <c r="AK94" s="92">
        <f ca="1" t="shared" si="45"/>
      </c>
      <c r="AL94" s="92">
        <f ca="1" t="shared" si="45"/>
      </c>
      <c r="AM94" s="92">
        <f ca="1" t="shared" si="45"/>
      </c>
      <c r="AN94" s="92">
        <f ca="1" t="shared" si="45"/>
      </c>
      <c r="AO94" s="93">
        <f ca="1" t="shared" si="45"/>
      </c>
    </row>
    <row r="95" spans="1:41" ht="12.75">
      <c r="A95" s="119">
        <f>IF(A94="","",IF(EOMONTH(A94,0)+1&gt;RunDat,"",EOMONTH(A94,0)+1))</f>
      </c>
      <c r="B95" s="120"/>
      <c r="C95" s="121"/>
      <c r="D95" s="92">
        <f t="shared" si="29"/>
      </c>
      <c r="E95" s="120"/>
      <c r="F95" s="92">
        <f ca="1" t="shared" si="42"/>
      </c>
      <c r="G95" s="92">
        <f ca="1" t="shared" si="42"/>
      </c>
      <c r="H95" s="92">
        <f ca="1" t="shared" si="42"/>
      </c>
      <c r="I95" s="92">
        <f ca="1" t="shared" si="42"/>
      </c>
      <c r="J95" s="92">
        <f ca="1" t="shared" si="42"/>
      </c>
      <c r="K95" s="92">
        <f ca="1" t="shared" si="42"/>
      </c>
      <c r="L95" s="92">
        <f ca="1" t="shared" si="42"/>
      </c>
      <c r="M95" s="92">
        <f ca="1" t="shared" si="42"/>
      </c>
      <c r="N95" s="92">
        <f ca="1" t="shared" si="42"/>
      </c>
      <c r="O95" s="92">
        <f ca="1" t="shared" si="42"/>
      </c>
      <c r="P95" s="92">
        <f ca="1" t="shared" si="43"/>
      </c>
      <c r="Q95" s="92">
        <f ca="1" t="shared" si="43"/>
      </c>
      <c r="R95" s="92">
        <f ca="1" t="shared" si="43"/>
      </c>
      <c r="S95" s="92">
        <f ca="1" t="shared" si="43"/>
      </c>
      <c r="T95" s="92">
        <f ca="1" t="shared" si="43"/>
      </c>
      <c r="U95" s="92">
        <f ca="1" t="shared" si="43"/>
      </c>
      <c r="V95" s="92">
        <f ca="1" t="shared" si="43"/>
      </c>
      <c r="W95" s="92">
        <f ca="1" t="shared" si="43"/>
      </c>
      <c r="X95" s="92">
        <f ca="1" t="shared" si="43"/>
      </c>
      <c r="Y95" s="92">
        <f ca="1" t="shared" si="43"/>
      </c>
      <c r="Z95" s="92">
        <f ca="1" t="shared" si="44"/>
      </c>
      <c r="AA95" s="92">
        <f ca="1" t="shared" si="44"/>
      </c>
      <c r="AB95" s="92">
        <f ca="1" t="shared" si="44"/>
      </c>
      <c r="AC95" s="92">
        <f ca="1" t="shared" si="44"/>
      </c>
      <c r="AD95" s="92">
        <f ca="1" t="shared" si="44"/>
      </c>
      <c r="AE95" s="92">
        <f ca="1" t="shared" si="44"/>
      </c>
      <c r="AF95" s="92">
        <f ca="1" t="shared" si="44"/>
      </c>
      <c r="AG95" s="92">
        <f ca="1" t="shared" si="44"/>
      </c>
      <c r="AH95" s="92">
        <f ca="1" t="shared" si="44"/>
      </c>
      <c r="AI95" s="92">
        <f ca="1" t="shared" si="44"/>
      </c>
      <c r="AJ95" s="92">
        <f ca="1" t="shared" si="45"/>
      </c>
      <c r="AK95" s="92">
        <f ca="1" t="shared" si="45"/>
      </c>
      <c r="AL95" s="92">
        <f ca="1" t="shared" si="45"/>
      </c>
      <c r="AM95" s="92">
        <f ca="1" t="shared" si="45"/>
      </c>
      <c r="AN95" s="92">
        <f ca="1" t="shared" si="45"/>
      </c>
      <c r="AO95" s="93">
        <f ca="1" t="shared" si="45"/>
      </c>
    </row>
    <row r="96" spans="1:41" ht="12.75">
      <c r="A96" s="119">
        <f>IF(A95="","",IF(EOMONTH(A95,0)+1&gt;RunDat,"",EOMONTH(A95,0)+1))</f>
      </c>
      <c r="B96" s="120"/>
      <c r="C96" s="121"/>
      <c r="D96" s="92">
        <f t="shared" si="29"/>
      </c>
      <c r="E96" s="120"/>
      <c r="F96" s="92">
        <f ca="1" t="shared" si="42"/>
      </c>
      <c r="G96" s="92">
        <f ca="1" t="shared" si="42"/>
      </c>
      <c r="H96" s="92">
        <f ca="1" t="shared" si="42"/>
      </c>
      <c r="I96" s="92">
        <f ca="1" t="shared" si="42"/>
      </c>
      <c r="J96" s="92">
        <f ca="1" t="shared" si="42"/>
      </c>
      <c r="K96" s="92">
        <f ca="1" t="shared" si="42"/>
      </c>
      <c r="L96" s="92">
        <f ca="1" t="shared" si="42"/>
      </c>
      <c r="M96" s="92">
        <f ca="1" t="shared" si="42"/>
      </c>
      <c r="N96" s="92">
        <f ca="1" t="shared" si="42"/>
      </c>
      <c r="O96" s="92">
        <f ca="1" t="shared" si="42"/>
      </c>
      <c r="P96" s="92">
        <f ca="1" t="shared" si="43"/>
      </c>
      <c r="Q96" s="92">
        <f ca="1" t="shared" si="43"/>
      </c>
      <c r="R96" s="92">
        <f ca="1" t="shared" si="43"/>
      </c>
      <c r="S96" s="92">
        <f ca="1" t="shared" si="43"/>
      </c>
      <c r="T96" s="92">
        <f ca="1" t="shared" si="43"/>
      </c>
      <c r="U96" s="92">
        <f ca="1" t="shared" si="43"/>
      </c>
      <c r="V96" s="92">
        <f ca="1" t="shared" si="43"/>
      </c>
      <c r="W96" s="92">
        <f ca="1" t="shared" si="43"/>
      </c>
      <c r="X96" s="92">
        <f ca="1" t="shared" si="43"/>
      </c>
      <c r="Y96" s="92">
        <f ca="1" t="shared" si="43"/>
      </c>
      <c r="Z96" s="92">
        <f ca="1" t="shared" si="44"/>
      </c>
      <c r="AA96" s="92">
        <f ca="1" t="shared" si="44"/>
      </c>
      <c r="AB96" s="92">
        <f ca="1" t="shared" si="44"/>
      </c>
      <c r="AC96" s="92">
        <f ca="1" t="shared" si="44"/>
      </c>
      <c r="AD96" s="92">
        <f ca="1" t="shared" si="44"/>
      </c>
      <c r="AE96" s="92">
        <f ca="1" t="shared" si="44"/>
      </c>
      <c r="AF96" s="92">
        <f ca="1" t="shared" si="44"/>
      </c>
      <c r="AG96" s="92">
        <f ca="1" t="shared" si="44"/>
      </c>
      <c r="AH96" s="92">
        <f ca="1" t="shared" si="44"/>
      </c>
      <c r="AI96" s="92">
        <f ca="1" t="shared" si="44"/>
      </c>
      <c r="AJ96" s="92">
        <f ca="1" t="shared" si="45"/>
      </c>
      <c r="AK96" s="92">
        <f ca="1" t="shared" si="45"/>
      </c>
      <c r="AL96" s="92">
        <f ca="1" t="shared" si="45"/>
      </c>
      <c r="AM96" s="92">
        <f ca="1" t="shared" si="45"/>
      </c>
      <c r="AN96" s="92">
        <f ca="1" t="shared" si="45"/>
      </c>
      <c r="AO96" s="93">
        <f ca="1" t="shared" si="45"/>
      </c>
    </row>
    <row r="97" spans="1:41" ht="12.75">
      <c r="A97" s="119">
        <f>IF(A96="","",IF(EOMONTH(A96,0)+1&gt;RunDat,"",EOMONTH(A96,0)+1))</f>
      </c>
      <c r="B97" s="120"/>
      <c r="C97" s="121"/>
      <c r="D97" s="92">
        <f t="shared" si="29"/>
      </c>
      <c r="E97" s="120"/>
      <c r="F97" s="92">
        <f ca="1" t="shared" si="42"/>
      </c>
      <c r="G97" s="92">
        <f ca="1" t="shared" si="42"/>
      </c>
      <c r="H97" s="92">
        <f ca="1" t="shared" si="42"/>
      </c>
      <c r="I97" s="92">
        <f ca="1" t="shared" si="42"/>
      </c>
      <c r="J97" s="92">
        <f ca="1" t="shared" si="42"/>
      </c>
      <c r="K97" s="92">
        <f ca="1" t="shared" si="42"/>
      </c>
      <c r="L97" s="92">
        <f ca="1" t="shared" si="42"/>
      </c>
      <c r="M97" s="92">
        <f ca="1" t="shared" si="42"/>
      </c>
      <c r="N97" s="92">
        <f ca="1" t="shared" si="42"/>
      </c>
      <c r="O97" s="92">
        <f ca="1" t="shared" si="42"/>
      </c>
      <c r="P97" s="92">
        <f ca="1" t="shared" si="43"/>
      </c>
      <c r="Q97" s="92">
        <f ca="1" t="shared" si="43"/>
      </c>
      <c r="R97" s="92">
        <f ca="1" t="shared" si="43"/>
      </c>
      <c r="S97" s="92">
        <f ca="1" t="shared" si="43"/>
      </c>
      <c r="T97" s="92">
        <f ca="1" t="shared" si="43"/>
      </c>
      <c r="U97" s="92">
        <f ca="1" t="shared" si="43"/>
      </c>
      <c r="V97" s="92">
        <f ca="1" t="shared" si="43"/>
      </c>
      <c r="W97" s="92">
        <f ca="1" t="shared" si="43"/>
      </c>
      <c r="X97" s="92">
        <f ca="1" t="shared" si="43"/>
      </c>
      <c r="Y97" s="92">
        <f ca="1" t="shared" si="43"/>
      </c>
      <c r="Z97" s="92">
        <f ca="1" t="shared" si="44"/>
      </c>
      <c r="AA97" s="92">
        <f ca="1" t="shared" si="44"/>
      </c>
      <c r="AB97" s="92">
        <f ca="1" t="shared" si="44"/>
      </c>
      <c r="AC97" s="92">
        <f ca="1" t="shared" si="44"/>
      </c>
      <c r="AD97" s="92">
        <f ca="1" t="shared" si="44"/>
      </c>
      <c r="AE97" s="92">
        <f ca="1" t="shared" si="44"/>
      </c>
      <c r="AF97" s="92">
        <f ca="1" t="shared" si="44"/>
      </c>
      <c r="AG97" s="92">
        <f ca="1" t="shared" si="44"/>
      </c>
      <c r="AH97" s="92">
        <f ca="1" t="shared" si="44"/>
      </c>
      <c r="AI97" s="92">
        <f ca="1" t="shared" si="44"/>
      </c>
      <c r="AJ97" s="92">
        <f ca="1" t="shared" si="45"/>
      </c>
      <c r="AK97" s="92">
        <f ca="1" t="shared" si="45"/>
      </c>
      <c r="AL97" s="92">
        <f ca="1" t="shared" si="45"/>
      </c>
      <c r="AM97" s="92">
        <f ca="1" t="shared" si="45"/>
      </c>
      <c r="AN97" s="92">
        <f ca="1" t="shared" si="45"/>
      </c>
      <c r="AO97" s="93">
        <f ca="1" t="shared" si="45"/>
      </c>
    </row>
    <row r="98" spans="1:41" ht="12.75">
      <c r="A98" s="119">
        <f>IF(A97="","",IF(EOMONTH(A97,0)+1&gt;RunDat,"",EOMONTH(A97,0)+1))</f>
      </c>
      <c r="B98" s="120"/>
      <c r="C98" s="121"/>
      <c r="D98" s="92">
        <f t="shared" si="29"/>
      </c>
      <c r="E98" s="120"/>
      <c r="F98" s="92">
        <f aca="true" ca="1" t="shared" si="46" ref="F98:O105">IF($A98="","",IF(OR(F$8&lt;=ROUND(DAYS360(ValDat,$A98,0)/30,0),F$8&gt;ROUND(DAYS360(ExpDat,$A98,0)/30,0)),0,OFFSET(F$45,MAX(-MNR,ROUND(DAYS360(ValDat,$A98,0)/30,0)-F$8+MEP-MNR),0,1,1)))</f>
      </c>
      <c r="G98" s="92">
        <f ca="1" t="shared" si="46"/>
      </c>
      <c r="H98" s="92">
        <f ca="1" t="shared" si="46"/>
      </c>
      <c r="I98" s="92">
        <f ca="1" t="shared" si="46"/>
      </c>
      <c r="J98" s="92">
        <f ca="1" t="shared" si="46"/>
      </c>
      <c r="K98" s="92">
        <f ca="1" t="shared" si="46"/>
      </c>
      <c r="L98" s="92">
        <f ca="1" t="shared" si="46"/>
      </c>
      <c r="M98" s="92">
        <f ca="1" t="shared" si="46"/>
      </c>
      <c r="N98" s="92">
        <f ca="1" t="shared" si="46"/>
      </c>
      <c r="O98" s="92">
        <f ca="1" t="shared" si="46"/>
      </c>
      <c r="P98" s="92">
        <f aca="true" ca="1" t="shared" si="47" ref="P98:Y105">IF($A98="","",IF(OR(P$8&lt;=ROUND(DAYS360(ValDat,$A98,0)/30,0),P$8&gt;ROUND(DAYS360(ExpDat,$A98,0)/30,0)),0,OFFSET(P$45,MAX(-MNR,ROUND(DAYS360(ValDat,$A98,0)/30,0)-P$8+MEP-MNR),0,1,1)))</f>
      </c>
      <c r="Q98" s="92">
        <f ca="1" t="shared" si="47"/>
      </c>
      <c r="R98" s="92">
        <f ca="1" t="shared" si="47"/>
      </c>
      <c r="S98" s="92">
        <f ca="1" t="shared" si="47"/>
      </c>
      <c r="T98" s="92">
        <f ca="1" t="shared" si="47"/>
      </c>
      <c r="U98" s="92">
        <f ca="1" t="shared" si="47"/>
      </c>
      <c r="V98" s="92">
        <f ca="1" t="shared" si="47"/>
      </c>
      <c r="W98" s="92">
        <f ca="1" t="shared" si="47"/>
      </c>
      <c r="X98" s="92">
        <f ca="1" t="shared" si="47"/>
      </c>
      <c r="Y98" s="92">
        <f ca="1" t="shared" si="47"/>
      </c>
      <c r="Z98" s="92">
        <f aca="true" ca="1" t="shared" si="48" ref="Z98:AI105">IF($A98="","",IF(OR(Z$8&lt;=ROUND(DAYS360(ValDat,$A98,0)/30,0),Z$8&gt;ROUND(DAYS360(ExpDat,$A98,0)/30,0)),0,OFFSET(Z$45,MAX(-MNR,ROUND(DAYS360(ValDat,$A98,0)/30,0)-Z$8+MEP-MNR),0,1,1)))</f>
      </c>
      <c r="AA98" s="92">
        <f ca="1" t="shared" si="48"/>
      </c>
      <c r="AB98" s="92">
        <f ca="1" t="shared" si="48"/>
      </c>
      <c r="AC98" s="92">
        <f ca="1" t="shared" si="48"/>
      </c>
      <c r="AD98" s="92">
        <f ca="1" t="shared" si="48"/>
      </c>
      <c r="AE98" s="92">
        <f ca="1" t="shared" si="48"/>
      </c>
      <c r="AF98" s="92">
        <f ca="1" t="shared" si="48"/>
      </c>
      <c r="AG98" s="92">
        <f ca="1" t="shared" si="48"/>
      </c>
      <c r="AH98" s="92">
        <f ca="1" t="shared" si="48"/>
      </c>
      <c r="AI98" s="92">
        <f ca="1" t="shared" si="48"/>
      </c>
      <c r="AJ98" s="92">
        <f aca="true" ca="1" t="shared" si="49" ref="AJ98:AO105">IF($A98="","",IF(OR(AJ$8&lt;=ROUND(DAYS360(ValDat,$A98,0)/30,0),AJ$8&gt;ROUND(DAYS360(ExpDat,$A98,0)/30,0)),0,OFFSET(AJ$45,MAX(-MNR,ROUND(DAYS360(ValDat,$A98,0)/30,0)-AJ$8+MEP-MNR),0,1,1)))</f>
      </c>
      <c r="AK98" s="92">
        <f ca="1" t="shared" si="49"/>
      </c>
      <c r="AL98" s="92">
        <f ca="1" t="shared" si="49"/>
      </c>
      <c r="AM98" s="92">
        <f ca="1" t="shared" si="49"/>
      </c>
      <c r="AN98" s="92">
        <f ca="1" t="shared" si="49"/>
      </c>
      <c r="AO98" s="93">
        <f ca="1" t="shared" si="49"/>
      </c>
    </row>
    <row r="99" spans="1:41" ht="12.75">
      <c r="A99" s="119">
        <f>IF(A98="","",IF(EOMONTH(A98,0)+1&gt;RunDat,"",EOMONTH(A98,0)+1))</f>
      </c>
      <c r="B99" s="120"/>
      <c r="C99" s="121"/>
      <c r="D99" s="92">
        <f t="shared" si="29"/>
      </c>
      <c r="E99" s="120"/>
      <c r="F99" s="92">
        <f ca="1" t="shared" si="46"/>
      </c>
      <c r="G99" s="92">
        <f ca="1" t="shared" si="46"/>
      </c>
      <c r="H99" s="92">
        <f ca="1" t="shared" si="46"/>
      </c>
      <c r="I99" s="92">
        <f ca="1" t="shared" si="46"/>
      </c>
      <c r="J99" s="92">
        <f ca="1" t="shared" si="46"/>
      </c>
      <c r="K99" s="92">
        <f ca="1" t="shared" si="46"/>
      </c>
      <c r="L99" s="92">
        <f ca="1" t="shared" si="46"/>
      </c>
      <c r="M99" s="92">
        <f ca="1" t="shared" si="46"/>
      </c>
      <c r="N99" s="92">
        <f ca="1" t="shared" si="46"/>
      </c>
      <c r="O99" s="92">
        <f ca="1" t="shared" si="46"/>
      </c>
      <c r="P99" s="92">
        <f ca="1" t="shared" si="47"/>
      </c>
      <c r="Q99" s="92">
        <f ca="1" t="shared" si="47"/>
      </c>
      <c r="R99" s="92">
        <f ca="1" t="shared" si="47"/>
      </c>
      <c r="S99" s="92">
        <f ca="1" t="shared" si="47"/>
      </c>
      <c r="T99" s="92">
        <f ca="1" t="shared" si="47"/>
      </c>
      <c r="U99" s="92">
        <f ca="1" t="shared" si="47"/>
      </c>
      <c r="V99" s="92">
        <f ca="1" t="shared" si="47"/>
      </c>
      <c r="W99" s="92">
        <f ca="1" t="shared" si="47"/>
      </c>
      <c r="X99" s="92">
        <f ca="1" t="shared" si="47"/>
      </c>
      <c r="Y99" s="92">
        <f ca="1" t="shared" si="47"/>
      </c>
      <c r="Z99" s="92">
        <f ca="1" t="shared" si="48"/>
      </c>
      <c r="AA99" s="92">
        <f ca="1" t="shared" si="48"/>
      </c>
      <c r="AB99" s="92">
        <f ca="1" t="shared" si="48"/>
      </c>
      <c r="AC99" s="92">
        <f ca="1" t="shared" si="48"/>
      </c>
      <c r="AD99" s="92">
        <f ca="1" t="shared" si="48"/>
      </c>
      <c r="AE99" s="92">
        <f ca="1" t="shared" si="48"/>
      </c>
      <c r="AF99" s="92">
        <f ca="1" t="shared" si="48"/>
      </c>
      <c r="AG99" s="92">
        <f ca="1" t="shared" si="48"/>
      </c>
      <c r="AH99" s="92">
        <f ca="1" t="shared" si="48"/>
      </c>
      <c r="AI99" s="92">
        <f ca="1" t="shared" si="48"/>
      </c>
      <c r="AJ99" s="92">
        <f ca="1" t="shared" si="49"/>
      </c>
      <c r="AK99" s="92">
        <f ca="1" t="shared" si="49"/>
      </c>
      <c r="AL99" s="92">
        <f ca="1" t="shared" si="49"/>
      </c>
      <c r="AM99" s="92">
        <f ca="1" t="shared" si="49"/>
      </c>
      <c r="AN99" s="92">
        <f ca="1" t="shared" si="49"/>
      </c>
      <c r="AO99" s="93">
        <f ca="1" t="shared" si="49"/>
      </c>
    </row>
    <row r="100" spans="1:41" ht="12.75">
      <c r="A100" s="119">
        <f>IF(A99="","",IF(EOMONTH(A99,0)+1&gt;RunDat,"",EOMONTH(A99,0)+1))</f>
      </c>
      <c r="B100" s="120"/>
      <c r="C100" s="121"/>
      <c r="D100" s="92">
        <f t="shared" si="29"/>
      </c>
      <c r="E100" s="120"/>
      <c r="F100" s="92">
        <f ca="1" t="shared" si="46"/>
      </c>
      <c r="G100" s="92">
        <f ca="1" t="shared" si="46"/>
      </c>
      <c r="H100" s="92">
        <f ca="1" t="shared" si="46"/>
      </c>
      <c r="I100" s="92">
        <f ca="1" t="shared" si="46"/>
      </c>
      <c r="J100" s="92">
        <f ca="1" t="shared" si="46"/>
      </c>
      <c r="K100" s="92">
        <f ca="1" t="shared" si="46"/>
      </c>
      <c r="L100" s="92">
        <f ca="1" t="shared" si="46"/>
      </c>
      <c r="M100" s="92">
        <f ca="1" t="shared" si="46"/>
      </c>
      <c r="N100" s="92">
        <f ca="1" t="shared" si="46"/>
      </c>
      <c r="O100" s="92">
        <f ca="1" t="shared" si="46"/>
      </c>
      <c r="P100" s="92">
        <f ca="1" t="shared" si="47"/>
      </c>
      <c r="Q100" s="92">
        <f ca="1" t="shared" si="47"/>
      </c>
      <c r="R100" s="92">
        <f ca="1" t="shared" si="47"/>
      </c>
      <c r="S100" s="92">
        <f ca="1" t="shared" si="47"/>
      </c>
      <c r="T100" s="92">
        <f ca="1" t="shared" si="47"/>
      </c>
      <c r="U100" s="92">
        <f ca="1" t="shared" si="47"/>
      </c>
      <c r="V100" s="92">
        <f ca="1" t="shared" si="47"/>
      </c>
      <c r="W100" s="92">
        <f ca="1" t="shared" si="47"/>
      </c>
      <c r="X100" s="92">
        <f ca="1" t="shared" si="47"/>
      </c>
      <c r="Y100" s="92">
        <f ca="1" t="shared" si="47"/>
      </c>
      <c r="Z100" s="92">
        <f ca="1" t="shared" si="48"/>
      </c>
      <c r="AA100" s="92">
        <f ca="1" t="shared" si="48"/>
      </c>
      <c r="AB100" s="92">
        <f ca="1" t="shared" si="48"/>
      </c>
      <c r="AC100" s="92">
        <f ca="1" t="shared" si="48"/>
      </c>
      <c r="AD100" s="92">
        <f ca="1" t="shared" si="48"/>
      </c>
      <c r="AE100" s="92">
        <f ca="1" t="shared" si="48"/>
      </c>
      <c r="AF100" s="92">
        <f ca="1" t="shared" si="48"/>
      </c>
      <c r="AG100" s="92">
        <f ca="1" t="shared" si="48"/>
      </c>
      <c r="AH100" s="92">
        <f ca="1" t="shared" si="48"/>
      </c>
      <c r="AI100" s="92">
        <f ca="1" t="shared" si="48"/>
      </c>
      <c r="AJ100" s="92">
        <f ca="1" t="shared" si="49"/>
      </c>
      <c r="AK100" s="92">
        <f ca="1" t="shared" si="49"/>
      </c>
      <c r="AL100" s="92">
        <f ca="1" t="shared" si="49"/>
      </c>
      <c r="AM100" s="92">
        <f ca="1" t="shared" si="49"/>
      </c>
      <c r="AN100" s="92">
        <f ca="1" t="shared" si="49"/>
      </c>
      <c r="AO100" s="93">
        <f ca="1" t="shared" si="49"/>
      </c>
    </row>
    <row r="101" spans="1:41" ht="12.75">
      <c r="A101" s="119">
        <f>IF(A100="","",IF(EOMONTH(A100,0)+1&gt;RunDat,"",EOMONTH(A100,0)+1))</f>
      </c>
      <c r="B101" s="120"/>
      <c r="C101" s="121"/>
      <c r="D101" s="92">
        <f t="shared" si="29"/>
      </c>
      <c r="E101" s="120"/>
      <c r="F101" s="92">
        <f ca="1" t="shared" si="46"/>
      </c>
      <c r="G101" s="92">
        <f ca="1" t="shared" si="46"/>
      </c>
      <c r="H101" s="92">
        <f ca="1" t="shared" si="46"/>
      </c>
      <c r="I101" s="92">
        <f ca="1" t="shared" si="46"/>
      </c>
      <c r="J101" s="92">
        <f ca="1" t="shared" si="46"/>
      </c>
      <c r="K101" s="92">
        <f ca="1" t="shared" si="46"/>
      </c>
      <c r="L101" s="92">
        <f ca="1" t="shared" si="46"/>
      </c>
      <c r="M101" s="92">
        <f ca="1" t="shared" si="46"/>
      </c>
      <c r="N101" s="92">
        <f ca="1" t="shared" si="46"/>
      </c>
      <c r="O101" s="92">
        <f ca="1" t="shared" si="46"/>
      </c>
      <c r="P101" s="92">
        <f ca="1" t="shared" si="47"/>
      </c>
      <c r="Q101" s="92">
        <f ca="1" t="shared" si="47"/>
      </c>
      <c r="R101" s="92">
        <f ca="1" t="shared" si="47"/>
      </c>
      <c r="S101" s="92">
        <f ca="1" t="shared" si="47"/>
      </c>
      <c r="T101" s="92">
        <f ca="1" t="shared" si="47"/>
      </c>
      <c r="U101" s="92">
        <f ca="1" t="shared" si="47"/>
      </c>
      <c r="V101" s="92">
        <f ca="1" t="shared" si="47"/>
      </c>
      <c r="W101" s="92">
        <f ca="1" t="shared" si="47"/>
      </c>
      <c r="X101" s="92">
        <f ca="1" t="shared" si="47"/>
      </c>
      <c r="Y101" s="92">
        <f ca="1" t="shared" si="47"/>
      </c>
      <c r="Z101" s="92">
        <f ca="1" t="shared" si="48"/>
      </c>
      <c r="AA101" s="92">
        <f ca="1" t="shared" si="48"/>
      </c>
      <c r="AB101" s="92">
        <f ca="1" t="shared" si="48"/>
      </c>
      <c r="AC101" s="92">
        <f ca="1" t="shared" si="48"/>
      </c>
      <c r="AD101" s="92">
        <f ca="1" t="shared" si="48"/>
      </c>
      <c r="AE101" s="92">
        <f ca="1" t="shared" si="48"/>
      </c>
      <c r="AF101" s="92">
        <f ca="1" t="shared" si="48"/>
      </c>
      <c r="AG101" s="92">
        <f ca="1" t="shared" si="48"/>
      </c>
      <c r="AH101" s="92">
        <f ca="1" t="shared" si="48"/>
      </c>
      <c r="AI101" s="92">
        <f ca="1" t="shared" si="48"/>
      </c>
      <c r="AJ101" s="92">
        <f ca="1" t="shared" si="49"/>
      </c>
      <c r="AK101" s="92">
        <f ca="1" t="shared" si="49"/>
      </c>
      <c r="AL101" s="92">
        <f ca="1" t="shared" si="49"/>
      </c>
      <c r="AM101" s="92">
        <f ca="1" t="shared" si="49"/>
      </c>
      <c r="AN101" s="92">
        <f ca="1" t="shared" si="49"/>
      </c>
      <c r="AO101" s="93">
        <f ca="1" t="shared" si="49"/>
      </c>
    </row>
    <row r="102" spans="1:41" ht="12.75">
      <c r="A102" s="119">
        <f>IF(A101="","",IF(EOMONTH(A101,0)+1&gt;RunDat,"",EOMONTH(A101,0)+1))</f>
      </c>
      <c r="B102" s="120"/>
      <c r="C102" s="121"/>
      <c r="D102" s="92">
        <f t="shared" si="29"/>
      </c>
      <c r="E102" s="120"/>
      <c r="F102" s="92">
        <f ca="1" t="shared" si="46"/>
      </c>
      <c r="G102" s="92">
        <f ca="1" t="shared" si="46"/>
      </c>
      <c r="H102" s="92">
        <f ca="1" t="shared" si="46"/>
      </c>
      <c r="I102" s="92">
        <f ca="1" t="shared" si="46"/>
      </c>
      <c r="J102" s="92">
        <f ca="1" t="shared" si="46"/>
      </c>
      <c r="K102" s="92">
        <f ca="1" t="shared" si="46"/>
      </c>
      <c r="L102" s="92">
        <f ca="1" t="shared" si="46"/>
      </c>
      <c r="M102" s="92">
        <f ca="1" t="shared" si="46"/>
      </c>
      <c r="N102" s="92">
        <f ca="1" t="shared" si="46"/>
      </c>
      <c r="O102" s="92">
        <f ca="1" t="shared" si="46"/>
      </c>
      <c r="P102" s="92">
        <f ca="1" t="shared" si="47"/>
      </c>
      <c r="Q102" s="92">
        <f ca="1" t="shared" si="47"/>
      </c>
      <c r="R102" s="92">
        <f ca="1" t="shared" si="47"/>
      </c>
      <c r="S102" s="92">
        <f ca="1" t="shared" si="47"/>
      </c>
      <c r="T102" s="92">
        <f ca="1" t="shared" si="47"/>
      </c>
      <c r="U102" s="92">
        <f ca="1" t="shared" si="47"/>
      </c>
      <c r="V102" s="92">
        <f ca="1" t="shared" si="47"/>
      </c>
      <c r="W102" s="92">
        <f ca="1" t="shared" si="47"/>
      </c>
      <c r="X102" s="92">
        <f ca="1" t="shared" si="47"/>
      </c>
      <c r="Y102" s="92">
        <f ca="1" t="shared" si="47"/>
      </c>
      <c r="Z102" s="92">
        <f ca="1" t="shared" si="48"/>
      </c>
      <c r="AA102" s="92">
        <f ca="1" t="shared" si="48"/>
      </c>
      <c r="AB102" s="92">
        <f ca="1" t="shared" si="48"/>
      </c>
      <c r="AC102" s="92">
        <f ca="1" t="shared" si="48"/>
      </c>
      <c r="AD102" s="92">
        <f ca="1" t="shared" si="48"/>
      </c>
      <c r="AE102" s="92">
        <f ca="1" t="shared" si="48"/>
      </c>
      <c r="AF102" s="92">
        <f ca="1" t="shared" si="48"/>
      </c>
      <c r="AG102" s="92">
        <f ca="1" t="shared" si="48"/>
      </c>
      <c r="AH102" s="92">
        <f ca="1" t="shared" si="48"/>
      </c>
      <c r="AI102" s="92">
        <f ca="1" t="shared" si="48"/>
      </c>
      <c r="AJ102" s="92">
        <f ca="1" t="shared" si="49"/>
      </c>
      <c r="AK102" s="92">
        <f ca="1" t="shared" si="49"/>
      </c>
      <c r="AL102" s="92">
        <f ca="1" t="shared" si="49"/>
      </c>
      <c r="AM102" s="92">
        <f ca="1" t="shared" si="49"/>
      </c>
      <c r="AN102" s="92">
        <f ca="1" t="shared" si="49"/>
      </c>
      <c r="AO102" s="93">
        <f ca="1" t="shared" si="49"/>
      </c>
    </row>
    <row r="103" spans="1:41" ht="12.75">
      <c r="A103" s="119">
        <f>IF(A102="","",IF(EOMONTH(A102,0)+1&gt;RunDat,"",EOMONTH(A102,0)+1))</f>
      </c>
      <c r="B103" s="120"/>
      <c r="C103" s="121"/>
      <c r="D103" s="92">
        <f t="shared" si="29"/>
      </c>
      <c r="E103" s="120"/>
      <c r="F103" s="92">
        <f ca="1" t="shared" si="46"/>
      </c>
      <c r="G103" s="92">
        <f ca="1" t="shared" si="46"/>
      </c>
      <c r="H103" s="92">
        <f ca="1" t="shared" si="46"/>
      </c>
      <c r="I103" s="92">
        <f ca="1" t="shared" si="46"/>
      </c>
      <c r="J103" s="92">
        <f ca="1" t="shared" si="46"/>
      </c>
      <c r="K103" s="92">
        <f ca="1" t="shared" si="46"/>
      </c>
      <c r="L103" s="92">
        <f ca="1" t="shared" si="46"/>
      </c>
      <c r="M103" s="92">
        <f ca="1" t="shared" si="46"/>
      </c>
      <c r="N103" s="92">
        <f ca="1" t="shared" si="46"/>
      </c>
      <c r="O103" s="92">
        <f ca="1" t="shared" si="46"/>
      </c>
      <c r="P103" s="92">
        <f ca="1" t="shared" si="47"/>
      </c>
      <c r="Q103" s="92">
        <f ca="1" t="shared" si="47"/>
      </c>
      <c r="R103" s="92">
        <f ca="1" t="shared" si="47"/>
      </c>
      <c r="S103" s="92">
        <f ca="1" t="shared" si="47"/>
      </c>
      <c r="T103" s="92">
        <f ca="1" t="shared" si="47"/>
      </c>
      <c r="U103" s="92">
        <f ca="1" t="shared" si="47"/>
      </c>
      <c r="V103" s="92">
        <f ca="1" t="shared" si="47"/>
      </c>
      <c r="W103" s="92">
        <f ca="1" t="shared" si="47"/>
      </c>
      <c r="X103" s="92">
        <f ca="1" t="shared" si="47"/>
      </c>
      <c r="Y103" s="92">
        <f ca="1" t="shared" si="47"/>
      </c>
      <c r="Z103" s="92">
        <f ca="1" t="shared" si="48"/>
      </c>
      <c r="AA103" s="92">
        <f ca="1" t="shared" si="48"/>
      </c>
      <c r="AB103" s="92">
        <f ca="1" t="shared" si="48"/>
      </c>
      <c r="AC103" s="92">
        <f ca="1" t="shared" si="48"/>
      </c>
      <c r="AD103" s="92">
        <f ca="1" t="shared" si="48"/>
      </c>
      <c r="AE103" s="92">
        <f ca="1" t="shared" si="48"/>
      </c>
      <c r="AF103" s="92">
        <f ca="1" t="shared" si="48"/>
      </c>
      <c r="AG103" s="92">
        <f ca="1" t="shared" si="48"/>
      </c>
      <c r="AH103" s="92">
        <f ca="1" t="shared" si="48"/>
      </c>
      <c r="AI103" s="92">
        <f ca="1" t="shared" si="48"/>
      </c>
      <c r="AJ103" s="92">
        <f ca="1" t="shared" si="49"/>
      </c>
      <c r="AK103" s="92">
        <f ca="1" t="shared" si="49"/>
      </c>
      <c r="AL103" s="92">
        <f ca="1" t="shared" si="49"/>
      </c>
      <c r="AM103" s="92">
        <f ca="1" t="shared" si="49"/>
      </c>
      <c r="AN103" s="92">
        <f ca="1" t="shared" si="49"/>
      </c>
      <c r="AO103" s="93">
        <f ca="1" t="shared" si="49"/>
      </c>
    </row>
    <row r="104" spans="1:41" ht="12.75">
      <c r="A104" s="119">
        <f>IF(A103="","",IF(EOMONTH(A103,0)+1&gt;RunDat,"",EOMONTH(A103,0)+1))</f>
      </c>
      <c r="B104" s="120"/>
      <c r="C104" s="121"/>
      <c r="D104" s="92">
        <f t="shared" si="29"/>
      </c>
      <c r="E104" s="120"/>
      <c r="F104" s="92">
        <f ca="1" t="shared" si="46"/>
      </c>
      <c r="G104" s="92">
        <f ca="1" t="shared" si="46"/>
      </c>
      <c r="H104" s="92">
        <f ca="1" t="shared" si="46"/>
      </c>
      <c r="I104" s="92">
        <f ca="1" t="shared" si="46"/>
      </c>
      <c r="J104" s="92">
        <f ca="1" t="shared" si="46"/>
      </c>
      <c r="K104" s="92">
        <f ca="1" t="shared" si="46"/>
      </c>
      <c r="L104" s="92">
        <f ca="1" t="shared" si="46"/>
      </c>
      <c r="M104" s="92">
        <f ca="1" t="shared" si="46"/>
      </c>
      <c r="N104" s="92">
        <f ca="1" t="shared" si="46"/>
      </c>
      <c r="O104" s="92">
        <f ca="1" t="shared" si="46"/>
      </c>
      <c r="P104" s="92">
        <f ca="1" t="shared" si="47"/>
      </c>
      <c r="Q104" s="92">
        <f ca="1" t="shared" si="47"/>
      </c>
      <c r="R104" s="92">
        <f ca="1" t="shared" si="47"/>
      </c>
      <c r="S104" s="92">
        <f ca="1" t="shared" si="47"/>
      </c>
      <c r="T104" s="92">
        <f ca="1" t="shared" si="47"/>
      </c>
      <c r="U104" s="92">
        <f ca="1" t="shared" si="47"/>
      </c>
      <c r="V104" s="92">
        <f ca="1" t="shared" si="47"/>
      </c>
      <c r="W104" s="92">
        <f ca="1" t="shared" si="47"/>
      </c>
      <c r="X104" s="92">
        <f ca="1" t="shared" si="47"/>
      </c>
      <c r="Y104" s="92">
        <f ca="1" t="shared" si="47"/>
      </c>
      <c r="Z104" s="92">
        <f ca="1" t="shared" si="48"/>
      </c>
      <c r="AA104" s="92">
        <f ca="1" t="shared" si="48"/>
      </c>
      <c r="AB104" s="92">
        <f ca="1" t="shared" si="48"/>
      </c>
      <c r="AC104" s="92">
        <f ca="1" t="shared" si="48"/>
      </c>
      <c r="AD104" s="92">
        <f ca="1" t="shared" si="48"/>
      </c>
      <c r="AE104" s="92">
        <f ca="1" t="shared" si="48"/>
      </c>
      <c r="AF104" s="92">
        <f ca="1" t="shared" si="48"/>
      </c>
      <c r="AG104" s="92">
        <f ca="1" t="shared" si="48"/>
      </c>
      <c r="AH104" s="92">
        <f ca="1" t="shared" si="48"/>
      </c>
      <c r="AI104" s="92">
        <f ca="1" t="shared" si="48"/>
      </c>
      <c r="AJ104" s="92">
        <f ca="1" t="shared" si="49"/>
      </c>
      <c r="AK104" s="92">
        <f ca="1" t="shared" si="49"/>
      </c>
      <c r="AL104" s="92">
        <f ca="1" t="shared" si="49"/>
      </c>
      <c r="AM104" s="92">
        <f ca="1" t="shared" si="49"/>
      </c>
      <c r="AN104" s="92">
        <f ca="1" t="shared" si="49"/>
      </c>
      <c r="AO104" s="93">
        <f ca="1" t="shared" si="49"/>
      </c>
    </row>
    <row r="105" spans="1:41" ht="12.75">
      <c r="A105" s="122">
        <f>IF(A104="","",IF(EOMONTH(A104,0)+1&gt;RunDat,"",EOMONTH(A104,0)+1))</f>
      </c>
      <c r="B105" s="123"/>
      <c r="C105" s="124"/>
      <c r="D105" s="125">
        <f t="shared" si="29"/>
      </c>
      <c r="E105" s="123"/>
      <c r="F105" s="125">
        <f ca="1" t="shared" si="46"/>
      </c>
      <c r="G105" s="125">
        <f ca="1" t="shared" si="46"/>
      </c>
      <c r="H105" s="125">
        <f ca="1" t="shared" si="46"/>
      </c>
      <c r="I105" s="125">
        <f ca="1" t="shared" si="46"/>
      </c>
      <c r="J105" s="125">
        <f ca="1" t="shared" si="46"/>
      </c>
      <c r="K105" s="125">
        <f ca="1" t="shared" si="46"/>
      </c>
      <c r="L105" s="125">
        <f ca="1" t="shared" si="46"/>
      </c>
      <c r="M105" s="125">
        <f ca="1" t="shared" si="46"/>
      </c>
      <c r="N105" s="125">
        <f ca="1" t="shared" si="46"/>
      </c>
      <c r="O105" s="125">
        <f ca="1" t="shared" si="46"/>
      </c>
      <c r="P105" s="125">
        <f ca="1" t="shared" si="47"/>
      </c>
      <c r="Q105" s="125">
        <f ca="1" t="shared" si="47"/>
      </c>
      <c r="R105" s="125">
        <f ca="1" t="shared" si="47"/>
      </c>
      <c r="S105" s="125">
        <f ca="1" t="shared" si="47"/>
      </c>
      <c r="T105" s="125">
        <f ca="1" t="shared" si="47"/>
      </c>
      <c r="U105" s="125">
        <f ca="1" t="shared" si="47"/>
      </c>
      <c r="V105" s="125">
        <f ca="1" t="shared" si="47"/>
      </c>
      <c r="W105" s="125">
        <f ca="1" t="shared" si="47"/>
      </c>
      <c r="X105" s="125">
        <f ca="1" t="shared" si="47"/>
      </c>
      <c r="Y105" s="125">
        <f ca="1" t="shared" si="47"/>
      </c>
      <c r="Z105" s="125">
        <f ca="1" t="shared" si="48"/>
      </c>
      <c r="AA105" s="125">
        <f ca="1" t="shared" si="48"/>
      </c>
      <c r="AB105" s="125">
        <f ca="1" t="shared" si="48"/>
      </c>
      <c r="AC105" s="125">
        <f ca="1" t="shared" si="48"/>
      </c>
      <c r="AD105" s="125">
        <f ca="1" t="shared" si="48"/>
      </c>
      <c r="AE105" s="125">
        <f ca="1" t="shared" si="48"/>
      </c>
      <c r="AF105" s="125">
        <f ca="1" t="shared" si="48"/>
      </c>
      <c r="AG105" s="125">
        <f ca="1" t="shared" si="48"/>
      </c>
      <c r="AH105" s="125">
        <f ca="1" t="shared" si="48"/>
      </c>
      <c r="AI105" s="125">
        <f ca="1" t="shared" si="48"/>
      </c>
      <c r="AJ105" s="125">
        <f ca="1" t="shared" si="49"/>
      </c>
      <c r="AK105" s="125">
        <f ca="1" t="shared" si="49"/>
      </c>
      <c r="AL105" s="125">
        <f ca="1" t="shared" si="49"/>
      </c>
      <c r="AM105" s="125">
        <f ca="1" t="shared" si="49"/>
      </c>
      <c r="AN105" s="125">
        <f ca="1" t="shared" si="49"/>
      </c>
      <c r="AO105" s="126">
        <f ca="1" t="shared" si="49"/>
      </c>
    </row>
  </sheetData>
  <printOptions/>
  <pageMargins left="0.75" right="0.75" top="1" bottom="1" header="0.5" footer="0.5"/>
  <pageSetup blackAndWhite="1" cellComments="asDisplayed" fitToWidth="2" fitToHeight="1" horizontalDpi="600" verticalDpi="600" orientation="landscape" scale="43" r:id="rId4"/>
  <headerFooter alignWithMargins="0">
    <oddFooter>&amp;L&amp;"Arial Narrow,Regular"&amp;9&amp;F &amp;A &amp;P / &amp;N
&amp;D &amp;T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47"/>
  <sheetViews>
    <sheetView zoomScale="85" zoomScaleNormal="85" zoomScaleSheetLayoutView="85" workbookViewId="0" topLeftCell="A1">
      <pane ySplit="8" topLeftCell="BM9" activePane="bottomLeft" state="frozen"/>
      <selection pane="topLeft" activeCell="F34" sqref="F34"/>
      <selection pane="bottomLeft" activeCell="A1" sqref="A1"/>
    </sheetView>
  </sheetViews>
  <sheetFormatPr defaultColWidth="9.140625" defaultRowHeight="12.75"/>
  <cols>
    <col min="1" max="1" width="10.7109375" style="1" customWidth="1"/>
    <col min="2" max="3" width="12.7109375" style="1" customWidth="1"/>
    <col min="4" max="4" width="14.28125" style="1" customWidth="1"/>
    <col min="5" max="7" width="12.7109375" style="1" customWidth="1"/>
    <col min="8" max="8" width="14.28125" style="1" customWidth="1"/>
    <col min="9" max="9" width="12.7109375" style="1" customWidth="1"/>
    <col min="10" max="10" width="14.28125" style="1" customWidth="1"/>
    <col min="11" max="11" width="12.7109375" style="1" customWidth="1"/>
    <col min="12" max="12" width="14.28125" style="1" customWidth="1"/>
    <col min="13" max="16384" width="9.140625" style="1" customWidth="1"/>
  </cols>
  <sheetData>
    <row r="1" ht="18">
      <c r="A1" s="2" t="str">
        <f>title1&amp;" - Block Claim Liability"</f>
        <v>BLOCK CLAIM LIABILITY REPORT - Block Claim Liability</v>
      </c>
    </row>
    <row r="2" spans="1:8" ht="15.75">
      <c r="A2" s="9" t="str">
        <f>title2</f>
        <v>The Millennium-2000 Sample Life Insurance Company</v>
      </c>
      <c r="H2" s="133"/>
    </row>
    <row r="3" spans="1:8" ht="15.75">
      <c r="A3" s="9" t="str">
        <f>title3</f>
        <v>Arvind</v>
      </c>
      <c r="H3" s="133"/>
    </row>
    <row r="4" spans="1:6" ht="15">
      <c r="A4" s="33" t="str">
        <f>title4</f>
        <v>Experience Period:  01-Aug-1998  to  31-Jul-2001.  Runout Date:  31-Jul-2001</v>
      </c>
      <c r="F4" s="50"/>
    </row>
    <row r="5" s="4" customFormat="1" ht="12.75">
      <c r="A5" s="135"/>
    </row>
    <row r="6" spans="1:11" s="4" customFormat="1" ht="12.75">
      <c r="A6" s="139"/>
      <c r="B6" s="140" t="s">
        <v>74</v>
      </c>
      <c r="C6" s="41"/>
      <c r="D6" s="41"/>
      <c r="E6" s="41"/>
      <c r="F6" s="41"/>
      <c r="G6" s="41"/>
      <c r="H6" s="41"/>
      <c r="I6" s="41"/>
      <c r="J6" s="41"/>
      <c r="K6" s="42"/>
    </row>
    <row r="7" spans="2:11" s="4" customFormat="1" ht="12.75">
      <c r="B7" s="46" t="s">
        <v>78</v>
      </c>
      <c r="C7" s="47"/>
      <c r="D7" s="48"/>
      <c r="E7" s="46" t="s">
        <v>79</v>
      </c>
      <c r="F7" s="47"/>
      <c r="G7" s="47"/>
      <c r="H7" s="48"/>
      <c r="I7" s="46" t="s">
        <v>80</v>
      </c>
      <c r="J7" s="47"/>
      <c r="K7" s="48"/>
    </row>
    <row r="8" spans="1:12" s="5" customFormat="1" ht="51">
      <c r="A8" s="14" t="s">
        <v>58</v>
      </c>
      <c r="B8" s="14" t="str">
        <f>"Incurred and "&amp;IF(Basis="ibnp","Paid Claims","Reported Claims")</f>
        <v>Incurred and Reported Claims</v>
      </c>
      <c r="C8" s="14" t="s">
        <v>68</v>
      </c>
      <c r="D8" s="14" t="s">
        <v>177</v>
      </c>
      <c r="E8" s="14" t="s">
        <v>69</v>
      </c>
      <c r="F8" s="14" t="s">
        <v>70</v>
      </c>
      <c r="G8" s="14" t="s">
        <v>57</v>
      </c>
      <c r="H8" s="14" t="s">
        <v>177</v>
      </c>
      <c r="I8" s="14" t="s">
        <v>71</v>
      </c>
      <c r="J8" s="14" t="s">
        <v>177</v>
      </c>
      <c r="K8" s="14" t="s">
        <v>72</v>
      </c>
      <c r="L8" s="14" t="s">
        <v>156</v>
      </c>
    </row>
    <row r="9" spans="1:12" ht="12.75">
      <c r="A9" s="32">
        <f>ExpDat</f>
        <v>36008</v>
      </c>
      <c r="B9" s="165">
        <f aca="true" t="shared" si="0" ref="B9:B44">IF($A9="","",VLOOKUP($A9,LinearIncLag,4,FALSE))</f>
        <v>99219</v>
      </c>
      <c r="C9" s="166">
        <f>IF($A9="","",INDEX(CmpFac,MIN(MEP,MRO+ROUND(DAYS360($A9,ValDat,0)/30,0))))</f>
        <v>1</v>
      </c>
      <c r="D9" s="167">
        <f>IF($A9="","",IF(C9=0,0,B9/C9))</f>
        <v>99219</v>
      </c>
      <c r="E9" s="51">
        <f>IF($A9="","",IF(VLOOKUP($A9,TrendFacDump,2,FALSE)=0,0,VLOOKUP(EOMONTH(ValDat,-1)+1,TrendFacDump,2,FALSE)/VLOOKUP($A9,TrendFacDump,2,FALSE)))</f>
        <v>1.185255422543558</v>
      </c>
      <c r="F9" s="50">
        <f ca="1">IF($A9="","",IF(OR(A9=ExpDat,E9=0),0,IF(SUM(OFFSET(J9,-MIN(ANC,ROUND(DAYS360(ExpDat,A9,0)/30,0)),0,MIN(ANC,ROUND(DAYS360(ExpDat,A9,0)/30,0)),1))=0,0,(VLOOKUP($A8,ClmCosts,6,FALSE)/E9)*SUMPRODUCT(OFFSET(E9,-MIN(ANC,ROUND(DAYS360(ExpDat,A9,0)/30,0)),0,MIN(ANC,ROUND(DAYS360(ExpDat,A9,0)/30,0)),1),OFFSET(J9,-MIN(ANC,ROUND(DAYS360(ExpDat,A9,0)/30,0)),0,MIN(ANC,ROUND(DAYS360(ExpDat,A9,0)/30,0)),1))/SUM(OFFSET(J9,-MIN(ANC,ROUND(DAYS360(ExpDat,A9,0)/30,0)),0,MIN(ANC,ROUND(DAYS360(ExpDat,A9,0)/30,0)),1)))))</f>
        <v>0</v>
      </c>
      <c r="G9" s="50">
        <f aca="true" t="shared" si="1" ref="G9:G44">IF($A9="","",VLOOKUP($A9,ExpDump,7,FALSE))</f>
        <v>2576.156</v>
      </c>
      <c r="H9" s="69">
        <f>IF($A9="","",IF($A9=ExpDat,D9,F9*G9))</f>
        <v>99219</v>
      </c>
      <c r="I9" s="175">
        <f>C9</f>
        <v>1</v>
      </c>
      <c r="J9" s="176">
        <f aca="true" t="shared" si="2" ref="J9:J44">IF($A9="","",D9*I9+H9*(1-I9))</f>
        <v>99219</v>
      </c>
      <c r="K9" s="177">
        <f aca="true" t="shared" si="3" ref="K9:K44">IF($A9="","",IF(J9=0,0,B9/J9))</f>
        <v>1</v>
      </c>
      <c r="L9" s="67">
        <f>IF($A9="","",SUM(J$9:J9))</f>
        <v>99219</v>
      </c>
    </row>
    <row r="10" spans="1:12" ht="12.75">
      <c r="A10" s="32">
        <f>IF($A9="","",IF(DATE(YEAR(A9),MONTH(A9)+1,1)&gt;ValDat,"",DATE(YEAR(A9),MONTH(A9)+1,1)))</f>
        <v>36039</v>
      </c>
      <c r="B10" s="168">
        <f t="shared" si="0"/>
        <v>99219</v>
      </c>
      <c r="C10" s="164">
        <f aca="true" t="shared" si="4" ref="C10:C44">IF($A10="","",INDEX(CmpFac,MIN(MEP,MRO+ROUND(DAYS360($A10,ValDat,0)/30,0))))</f>
        <v>1</v>
      </c>
      <c r="D10" s="169">
        <f aca="true" t="shared" si="5" ref="D10:D44">IF($A10="","",IF(C10=0,0,B10/C10))</f>
        <v>99219</v>
      </c>
      <c r="E10" s="51">
        <f>IF($A10="","",IF(VLOOKUP($A10,TrendFacDump,2,FALSE)=0,0,VLOOKUP(EOMONTH(ValDat,-1)+1,TrendFacDump,2,FALSE)/VLOOKUP($A10,TrendFacDump,2,FALSE)))</f>
        <v>1.179523472517103</v>
      </c>
      <c r="F10" s="50">
        <f ca="1">IF($A10="","",IF(OR(A10=ExpDat,E10=0),0,IF(SUM(OFFSET(J10,-MIN(ANC,ROUND(DAYS360(ExpDat,A10,0)/30,0)),0,MIN(ANC,ROUND(DAYS360(ExpDat,A10,0)/30,0)),1))=0,0,(VLOOKUP($A9,ClmCosts,6,FALSE)/E10)*SUMPRODUCT(OFFSET(E10,-MIN(ANC,ROUND(DAYS360(ExpDat,A10,0)/30,0)),0,MIN(ANC,ROUND(DAYS360(ExpDat,A10,0)/30,0)),1),OFFSET(J10,-MIN(ANC,ROUND(DAYS360(ExpDat,A10,0)/30,0)),0,MIN(ANC,ROUND(DAYS360(ExpDat,A10,0)/30,0)),1))/SUM(OFFSET(J10,-MIN(ANC,ROUND(DAYS360(ExpDat,A10,0)/30,0)),0,MIN(ANC,ROUND(DAYS360(ExpDat,A10,0)/30,0)),1)))))</f>
        <v>38.701522507509</v>
      </c>
      <c r="G10" s="50">
        <f t="shared" si="1"/>
        <v>2663.767</v>
      </c>
      <c r="H10" s="69">
        <f>IF($A10="","",IF($A10=ExpDat,D10,F10*G10))</f>
        <v>103091.83850525972</v>
      </c>
      <c r="I10" s="178">
        <f>C10</f>
        <v>1</v>
      </c>
      <c r="J10" s="179">
        <f t="shared" si="2"/>
        <v>99219</v>
      </c>
      <c r="K10" s="180">
        <f t="shared" si="3"/>
        <v>1</v>
      </c>
      <c r="L10" s="67">
        <f>IF($A10="","",SUM(J$9:J10))</f>
        <v>198438</v>
      </c>
    </row>
    <row r="11" spans="1:12" ht="12.75">
      <c r="A11" s="32">
        <f aca="true" t="shared" si="6" ref="A11:A44">IF($A10="","",IF(DATE(YEAR(A10),MONTH(A10)+1,1)&gt;ValDat,"",DATE(YEAR(A10),MONTH(A10)+1,1)))</f>
        <v>36069</v>
      </c>
      <c r="B11" s="170">
        <f t="shared" si="0"/>
        <v>292014</v>
      </c>
      <c r="C11" s="164">
        <f t="shared" si="4"/>
        <v>1</v>
      </c>
      <c r="D11" s="169">
        <f t="shared" si="5"/>
        <v>292014</v>
      </c>
      <c r="E11" s="51">
        <f>IF($A11="","",IF(VLOOKUP($A11,TrendFacDump,2,FALSE)=0,0,VLOOKUP(EOMONTH(ValDat,-1)+1,TrendFacDump,2,FALSE)/VLOOKUP($A11,TrendFacDump,2,FALSE)))</f>
        <v>1.1738466956215519</v>
      </c>
      <c r="F11" s="50">
        <f ca="1">IF($A11="","",IF(OR(A11=ExpDat,E11=0),0,IF(SUM(OFFSET(J11,-MIN(ANC,ROUND(DAYS360(ExpDat,A11,0)/30,0)),0,MIN(ANC,ROUND(DAYS360(ExpDat,A11,0)/30,0)),1))=0,0,(VLOOKUP($A10,ClmCosts,6,FALSE)/E11)*SUMPRODUCT(OFFSET(E11,-MIN(ANC,ROUND(DAYS360(ExpDat,A11,0)/30,0)),0,MIN(ANC,ROUND(DAYS360(ExpDat,A11,0)/30,0)),1),OFFSET(J11,-MIN(ANC,ROUND(DAYS360(ExpDat,A11,0)/30,0)),0,MIN(ANC,ROUND(DAYS360(ExpDat,A11,0)/30,0)),1))/SUM(OFFSET(J11,-MIN(ANC,ROUND(DAYS360(ExpDat,A11,0)/30,0)),0,MIN(ANC,ROUND(DAYS360(ExpDat,A11,0)/30,0)),1)))))</f>
        <v>38.146008348849655</v>
      </c>
      <c r="G11" s="50">
        <f t="shared" si="1"/>
        <v>2728.208</v>
      </c>
      <c r="H11" s="69">
        <f>IF($A11="","",IF($A11=ExpDat,D11,F11*G11))</f>
        <v>104070.24514539842</v>
      </c>
      <c r="I11" s="178">
        <f>C11</f>
        <v>1</v>
      </c>
      <c r="J11" s="179">
        <f t="shared" si="2"/>
        <v>292014</v>
      </c>
      <c r="K11" s="180">
        <f t="shared" si="3"/>
        <v>1</v>
      </c>
      <c r="L11" s="67">
        <f>IF($A11="","",SUM(J$9:J11))</f>
        <v>490452</v>
      </c>
    </row>
    <row r="12" spans="1:12" ht="12.75">
      <c r="A12" s="32">
        <f t="shared" si="6"/>
        <v>36100</v>
      </c>
      <c r="B12" s="170">
        <f t="shared" si="0"/>
        <v>292014</v>
      </c>
      <c r="C12" s="164">
        <f t="shared" si="4"/>
        <v>1</v>
      </c>
      <c r="D12" s="169">
        <f t="shared" si="5"/>
        <v>292014</v>
      </c>
      <c r="E12" s="51">
        <f>IF($A12="","",IF(VLOOKUP($A12,TrendFacDump,2,FALSE)=0,0,VLOOKUP(EOMONTH(ValDat,-1)+1,TrendFacDump,2,FALSE)/VLOOKUP($A12,TrendFacDump,2,FALSE)))</f>
        <v>1.1680878402055834</v>
      </c>
      <c r="F12" s="50">
        <f ca="1">IF($A12="","",IF(OR(A12=ExpDat,E12=0),0,IF(SUM(OFFSET(J12,-MIN(ANC,ROUND(DAYS360(ExpDat,A12,0)/30,0)),0,MIN(ANC,ROUND(DAYS360(ExpDat,A12,0)/30,0)),1))=0,0,(VLOOKUP($A11,ClmCosts,6,FALSE)/E12)*SUMPRODUCT(OFFSET(E12,-MIN(ANC,ROUND(DAYS360(ExpDat,A12,0)/30,0)),0,MIN(ANC,ROUND(DAYS360(ExpDat,A12,0)/30,0)),1),OFFSET(J12,-MIN(ANC,ROUND(DAYS360(ExpDat,A12,0)/30,0)),0,MIN(ANC,ROUND(DAYS360(ExpDat,A12,0)/30,0)),1))/SUM(OFFSET(J12,-MIN(ANC,ROUND(DAYS360(ExpDat,A12,0)/30,0)),0,MIN(ANC,ROUND(DAYS360(ExpDat,A12,0)/30,0)),1)))))</f>
        <v>62.03729222112678</v>
      </c>
      <c r="G12" s="50">
        <f t="shared" si="1"/>
        <v>2780.754</v>
      </c>
      <c r="H12" s="69">
        <f>IF($A12="","",IF($A12=ExpDat,D12,F12*G12))</f>
        <v>172510.44849306718</v>
      </c>
      <c r="I12" s="178">
        <f aca="true" t="shared" si="7" ref="I12:I44">C12</f>
        <v>1</v>
      </c>
      <c r="J12" s="179">
        <f t="shared" si="2"/>
        <v>292014</v>
      </c>
      <c r="K12" s="180">
        <f t="shared" si="3"/>
        <v>1</v>
      </c>
      <c r="L12" s="67">
        <f>IF($A12="","",SUM(J$9:J12))</f>
        <v>782466</v>
      </c>
    </row>
    <row r="13" spans="1:12" ht="12.75">
      <c r="A13" s="32">
        <f t="shared" si="6"/>
        <v>36130</v>
      </c>
      <c r="B13" s="170">
        <f t="shared" si="0"/>
        <v>109763</v>
      </c>
      <c r="C13" s="164">
        <f t="shared" si="4"/>
        <v>1</v>
      </c>
      <c r="D13" s="169">
        <f t="shared" si="5"/>
        <v>109763</v>
      </c>
      <c r="E13" s="51">
        <f>IF($A13="","",IF(VLOOKUP($A13,TrendFacDump,2,FALSE)=0,0,VLOOKUP(EOMONTH(ValDat,-1)+1,TrendFacDump,2,FALSE)/VLOOKUP($A13,TrendFacDump,2,FALSE)))</f>
        <v>1.1623852144600721</v>
      </c>
      <c r="F13" s="50">
        <f ca="1">IF($A13="","",IF(OR(A13=ExpDat,E13=0),0,IF(SUM(OFFSET(J13,-MIN(ANC,ROUND(DAYS360(ExpDat,A13,0)/30,0)),0,MIN(ANC,ROUND(DAYS360(ExpDat,A13,0)/30,0)),1))=0,0,(VLOOKUP($A12,ClmCosts,6,FALSE)/E13)*SUMPRODUCT(OFFSET(E13,-MIN(ANC,ROUND(DAYS360(ExpDat,A13,0)/30,0)),0,MIN(ANC,ROUND(DAYS360(ExpDat,A13,0)/30,0)),1),OFFSET(J13,-MIN(ANC,ROUND(DAYS360(ExpDat,A13,0)/30,0)),0,MIN(ANC,ROUND(DAYS360(ExpDat,A13,0)/30,0)),1))/SUM(OFFSET(J13,-MIN(ANC,ROUND(DAYS360(ExpDat,A13,0)/30,0)),0,MIN(ANC,ROUND(DAYS360(ExpDat,A13,0)/30,0)),1)))))</f>
        <v>73.5139512341887</v>
      </c>
      <c r="G13" s="50">
        <f t="shared" si="1"/>
        <v>2826.459</v>
      </c>
      <c r="H13" s="69">
        <f>IF($A13="","",IF($A13=ExpDat,D13,F13*G13))</f>
        <v>207784.16909143372</v>
      </c>
      <c r="I13" s="178">
        <f t="shared" si="7"/>
        <v>1</v>
      </c>
      <c r="J13" s="179">
        <f t="shared" si="2"/>
        <v>109763</v>
      </c>
      <c r="K13" s="180">
        <f t="shared" si="3"/>
        <v>1</v>
      </c>
      <c r="L13" s="67">
        <f>IF($A13="","",SUM(J$9:J13))</f>
        <v>892229</v>
      </c>
    </row>
    <row r="14" spans="1:12" ht="12.75">
      <c r="A14" s="32">
        <f t="shared" si="6"/>
        <v>36161</v>
      </c>
      <c r="B14" s="170">
        <f t="shared" si="0"/>
        <v>109763</v>
      </c>
      <c r="C14" s="164">
        <f t="shared" si="4"/>
        <v>1</v>
      </c>
      <c r="D14" s="169">
        <f t="shared" si="5"/>
        <v>109763</v>
      </c>
      <c r="E14" s="51">
        <f>IF($A14="","",IF(VLOOKUP($A14,TrendFacDump,2,FALSE)=0,0,VLOOKUP(EOMONTH(ValDat,-1)+1,TrendFacDump,2,FALSE)/VLOOKUP($A14,TrendFacDump,2,FALSE)))</f>
        <v>1.1568718186024989</v>
      </c>
      <c r="F14" s="50">
        <f aca="true" ca="1" t="shared" si="8" ref="F14:F44">IF($A14="","",IF(OR(A14=ExpDat,E14=0),0,IF(SUM(OFFSET(J14,-MIN(ANC,ROUND(DAYS360(ExpDat,A14,0)/30,0)),0,MIN(ANC,ROUND(DAYS360(ExpDat,A14,0)/30,0)),1))=0,0,(VLOOKUP($A13,ClmCosts,6,FALSE)/E14)*SUMPRODUCT(OFFSET(E14,-MIN(ANC,ROUND(DAYS360(ExpDat,A14,0)/30,0)),0,MIN(ANC,ROUND(DAYS360(ExpDat,A14,0)/30,0)),1),OFFSET(J14,-MIN(ANC,ROUND(DAYS360(ExpDat,A14,0)/30,0)),0,MIN(ANC,ROUND(DAYS360(ExpDat,A14,0)/30,0)),1))/SUM(OFFSET(J14,-MIN(ANC,ROUND(DAYS360(ExpDat,A14,0)/30,0)),0,MIN(ANC,ROUND(DAYS360(ExpDat,A14,0)/30,0)),1)))))</f>
        <v>66.609361758768</v>
      </c>
      <c r="G14" s="50">
        <f t="shared" si="1"/>
        <v>2835.062</v>
      </c>
      <c r="H14" s="69">
        <f aca="true" t="shared" si="9" ref="H14:H44">IF($A14="","",IF($A14=ExpDat,D14,F14*G14))</f>
        <v>188841.67036653633</v>
      </c>
      <c r="I14" s="178">
        <f t="shared" si="7"/>
        <v>1</v>
      </c>
      <c r="J14" s="179">
        <f t="shared" si="2"/>
        <v>109763</v>
      </c>
      <c r="K14" s="180">
        <f t="shared" si="3"/>
        <v>1</v>
      </c>
      <c r="L14" s="67">
        <f>IF($A14="","",SUM(J$9:J14))</f>
        <v>1001992</v>
      </c>
    </row>
    <row r="15" spans="1:12" ht="12.75">
      <c r="A15" s="32">
        <f t="shared" si="6"/>
        <v>36192</v>
      </c>
      <c r="B15" s="170">
        <f t="shared" si="0"/>
        <v>164681</v>
      </c>
      <c r="C15" s="164">
        <f t="shared" si="4"/>
        <v>1</v>
      </c>
      <c r="D15" s="169">
        <f t="shared" si="5"/>
        <v>164681</v>
      </c>
      <c r="E15" s="51">
        <f>IF($A15="","",IF(VLOOKUP($A15,TrendFacDump,2,FALSE)=0,0,VLOOKUP(EOMONTH(ValDat,-1)+1,TrendFacDump,2,FALSE)/VLOOKUP($A15,TrendFacDump,2,FALSE)))</f>
        <v>1.1512779184895232</v>
      </c>
      <c r="F15" s="50">
        <f ca="1" t="shared" si="8"/>
        <v>62.090780938949834</v>
      </c>
      <c r="G15" s="50">
        <f t="shared" si="1"/>
        <v>2816.626</v>
      </c>
      <c r="H15" s="69">
        <f t="shared" si="9"/>
        <v>174886.50795295052</v>
      </c>
      <c r="I15" s="178">
        <f t="shared" si="7"/>
        <v>1</v>
      </c>
      <c r="J15" s="179">
        <f t="shared" si="2"/>
        <v>164681</v>
      </c>
      <c r="K15" s="180">
        <f t="shared" si="3"/>
        <v>1</v>
      </c>
      <c r="L15" s="67">
        <f>IF($A15="","",SUM(J$9:J15))</f>
        <v>1166673</v>
      </c>
    </row>
    <row r="16" spans="1:12" ht="12.75">
      <c r="A16" s="32">
        <f t="shared" si="6"/>
        <v>36220</v>
      </c>
      <c r="B16" s="170">
        <f t="shared" si="0"/>
        <v>164681</v>
      </c>
      <c r="C16" s="164">
        <f t="shared" si="4"/>
        <v>1</v>
      </c>
      <c r="D16" s="169">
        <f t="shared" si="5"/>
        <v>164681</v>
      </c>
      <c r="E16" s="51">
        <f>IF($A16="","",IF(VLOOKUP($A16,TrendFacDump,2,FALSE)=0,0,VLOOKUP(EOMONTH(ValDat,-1)+1,TrendFacDump,2,FALSE)/VLOOKUP($A16,TrendFacDump,2,FALSE)))</f>
        <v>1.1456065986940085</v>
      </c>
      <c r="F16" s="50">
        <f ca="1" t="shared" si="8"/>
        <v>61.864743806419426</v>
      </c>
      <c r="G16" s="50">
        <f t="shared" si="1"/>
        <v>2829.576</v>
      </c>
      <c r="H16" s="69">
        <f t="shared" si="9"/>
        <v>175050.99432079305</v>
      </c>
      <c r="I16" s="178">
        <f t="shared" si="7"/>
        <v>1</v>
      </c>
      <c r="J16" s="179">
        <f t="shared" si="2"/>
        <v>164681</v>
      </c>
      <c r="K16" s="180">
        <f t="shared" si="3"/>
        <v>1</v>
      </c>
      <c r="L16" s="67">
        <f>IF($A16="","",SUM(J$9:J16))</f>
        <v>1331354</v>
      </c>
    </row>
    <row r="17" spans="1:12" ht="12.75">
      <c r="A17" s="32">
        <f t="shared" si="6"/>
        <v>36251</v>
      </c>
      <c r="B17" s="170">
        <f t="shared" si="0"/>
        <v>171773</v>
      </c>
      <c r="C17" s="164">
        <f t="shared" si="4"/>
        <v>1</v>
      </c>
      <c r="D17" s="169">
        <f t="shared" si="5"/>
        <v>171773</v>
      </c>
      <c r="E17" s="51">
        <f>IF($A17="","",IF(VLOOKUP($A17,TrendFacDump,2,FALSE)=0,0,VLOOKUP(EOMONTH(ValDat,-1)+1,TrendFacDump,2,FALSE)/VLOOKUP($A17,TrendFacDump,2,FALSE)))</f>
        <v>1.1401208528103979</v>
      </c>
      <c r="F17" s="50">
        <f ca="1" t="shared" si="8"/>
        <v>61.689993176279295</v>
      </c>
      <c r="G17" s="50">
        <f t="shared" si="1"/>
        <v>2910.367</v>
      </c>
      <c r="H17" s="69">
        <f t="shared" si="9"/>
        <v>179540.52037046844</v>
      </c>
      <c r="I17" s="178">
        <f t="shared" si="7"/>
        <v>1</v>
      </c>
      <c r="J17" s="179">
        <f t="shared" si="2"/>
        <v>171773</v>
      </c>
      <c r="K17" s="180">
        <f t="shared" si="3"/>
        <v>1</v>
      </c>
      <c r="L17" s="67">
        <f>IF($A17="","",SUM(J$9:J17))</f>
        <v>1503127</v>
      </c>
    </row>
    <row r="18" spans="1:12" ht="12.75">
      <c r="A18" s="32">
        <f t="shared" si="6"/>
        <v>36281</v>
      </c>
      <c r="B18" s="170">
        <f t="shared" si="0"/>
        <v>171773</v>
      </c>
      <c r="C18" s="164">
        <f t="shared" si="4"/>
        <v>1</v>
      </c>
      <c r="D18" s="169">
        <f t="shared" si="5"/>
        <v>171773</v>
      </c>
      <c r="E18" s="51">
        <f>IF($A18="","",IF(VLOOKUP($A18,TrendFacDump,2,FALSE)=0,0,VLOOKUP(EOMONTH(ValDat,-1)+1,TrendFacDump,2,FALSE)/VLOOKUP($A18,TrendFacDump,2,FALSE)))</f>
        <v>1.1345586566825505</v>
      </c>
      <c r="F18" s="50">
        <f ca="1" t="shared" si="8"/>
        <v>61.6797925559041</v>
      </c>
      <c r="G18" s="50">
        <f t="shared" si="1"/>
        <v>2874.026</v>
      </c>
      <c r="H18" s="69">
        <f t="shared" si="9"/>
        <v>177269.32748027483</v>
      </c>
      <c r="I18" s="178">
        <f t="shared" si="7"/>
        <v>1</v>
      </c>
      <c r="J18" s="179">
        <f t="shared" si="2"/>
        <v>171773</v>
      </c>
      <c r="K18" s="180">
        <f t="shared" si="3"/>
        <v>1</v>
      </c>
      <c r="L18" s="67">
        <f>IF($A18="","",SUM(J$9:J18))</f>
        <v>1674900</v>
      </c>
    </row>
    <row r="19" spans="1:12" ht="12.75">
      <c r="A19" s="32">
        <f t="shared" si="6"/>
        <v>36312</v>
      </c>
      <c r="B19" s="170">
        <f t="shared" si="0"/>
        <v>294045</v>
      </c>
      <c r="C19" s="164">
        <f t="shared" si="4"/>
        <v>1</v>
      </c>
      <c r="D19" s="169">
        <f t="shared" si="5"/>
        <v>294045</v>
      </c>
      <c r="E19" s="51">
        <f>IF($A19="","",IF(VLOOKUP($A19,TrendFacDump,2,FALSE)=0,0,VLOOKUP(EOMONTH(ValDat,-1)+1,TrendFacDump,2,FALSE)/VLOOKUP($A19,TrendFacDump,2,FALSE)))</f>
        <v>1.1290504685559444</v>
      </c>
      <c r="F19" s="50">
        <f ca="1" t="shared" si="8"/>
        <v>61.78232214512681</v>
      </c>
      <c r="G19" s="50">
        <f t="shared" si="1"/>
        <v>2840.922</v>
      </c>
      <c r="H19" s="69">
        <f t="shared" si="9"/>
        <v>175518.75819317796</v>
      </c>
      <c r="I19" s="178">
        <f t="shared" si="7"/>
        <v>1</v>
      </c>
      <c r="J19" s="179">
        <f t="shared" si="2"/>
        <v>294045</v>
      </c>
      <c r="K19" s="180">
        <f t="shared" si="3"/>
        <v>1</v>
      </c>
      <c r="L19" s="67">
        <f>IF($A19="","",SUM(J$9:J19))</f>
        <v>1968945</v>
      </c>
    </row>
    <row r="20" spans="1:12" ht="12.75">
      <c r="A20" s="32">
        <f t="shared" si="6"/>
        <v>36342</v>
      </c>
      <c r="B20" s="170">
        <f t="shared" si="0"/>
        <v>294045</v>
      </c>
      <c r="C20" s="164">
        <f t="shared" si="4"/>
        <v>1</v>
      </c>
      <c r="D20" s="169">
        <f t="shared" si="5"/>
        <v>294045</v>
      </c>
      <c r="E20" s="51">
        <f>IF($A20="","",IF(VLOOKUP($A20,TrendFacDump,2,FALSE)=0,0,VLOOKUP(EOMONTH(ValDat,-1)+1,TrendFacDump,2,FALSE)/VLOOKUP($A20,TrendFacDump,2,FALSE)))</f>
        <v>1.1235955056179776</v>
      </c>
      <c r="F20" s="50">
        <f ca="1" t="shared" si="8"/>
        <v>65.9640893621552</v>
      </c>
      <c r="G20" s="50">
        <f t="shared" si="1"/>
        <v>2830.386</v>
      </c>
      <c r="H20" s="69">
        <f t="shared" si="9"/>
        <v>186703.83503339303</v>
      </c>
      <c r="I20" s="178">
        <f t="shared" si="7"/>
        <v>1</v>
      </c>
      <c r="J20" s="179">
        <f t="shared" si="2"/>
        <v>294045</v>
      </c>
      <c r="K20" s="180">
        <f t="shared" si="3"/>
        <v>1</v>
      </c>
      <c r="L20" s="67">
        <f>IF($A20="","",SUM(J$9:J20))</f>
        <v>2262990</v>
      </c>
    </row>
    <row r="21" spans="1:12" s="43" customFormat="1" ht="12.75">
      <c r="A21" s="32">
        <f t="shared" si="6"/>
        <v>36373</v>
      </c>
      <c r="B21" s="171">
        <f t="shared" si="0"/>
        <v>111076</v>
      </c>
      <c r="C21" s="164">
        <f t="shared" si="4"/>
        <v>1</v>
      </c>
      <c r="D21" s="172">
        <f t="shared" si="5"/>
        <v>111076</v>
      </c>
      <c r="E21" s="51">
        <f>IF($A21="","",IF(VLOOKUP($A21,TrendFacDump,2,FALSE)=0,0,VLOOKUP(EOMONTH(ValDat,-1)+1,TrendFacDump,2,FALSE)/VLOOKUP($A21,TrendFacDump,2,FALSE)))</f>
        <v>1.1181930001118192</v>
      </c>
      <c r="F21" s="50">
        <f ca="1" t="shared" si="8"/>
        <v>69.50130459165516</v>
      </c>
      <c r="G21" s="50">
        <f t="shared" si="1"/>
        <v>2957.813</v>
      </c>
      <c r="H21" s="69">
        <f t="shared" si="9"/>
        <v>205571.8622381573</v>
      </c>
      <c r="I21" s="181">
        <f t="shared" si="7"/>
        <v>1</v>
      </c>
      <c r="J21" s="182">
        <f t="shared" si="2"/>
        <v>111076</v>
      </c>
      <c r="K21" s="183">
        <f t="shared" si="3"/>
        <v>1</v>
      </c>
      <c r="L21" s="67">
        <f>IF($A21="","",SUM(J$9:J21))</f>
        <v>2374066</v>
      </c>
    </row>
    <row r="22" spans="1:12" ht="12.75">
      <c r="A22" s="32">
        <f t="shared" si="6"/>
        <v>36404</v>
      </c>
      <c r="B22" s="170">
        <f t="shared" si="0"/>
        <v>111076</v>
      </c>
      <c r="C22" s="164">
        <f t="shared" si="4"/>
        <v>1</v>
      </c>
      <c r="D22" s="169">
        <f t="shared" si="5"/>
        <v>111076</v>
      </c>
      <c r="E22" s="51">
        <f>IF($A22="","",IF(VLOOKUP($A22,TrendFacDump,2,FALSE)=0,0,VLOOKUP(EOMONTH(ValDat,-1)+1,TrendFacDump,2,FALSE)/VLOOKUP($A22,TrendFacDump,2,FALSE)))</f>
        <v>1.1127183709803048</v>
      </c>
      <c r="F22" s="50">
        <f ca="1" t="shared" si="8"/>
        <v>69.23191671411054</v>
      </c>
      <c r="G22" s="50">
        <f t="shared" si="1"/>
        <v>2973.885</v>
      </c>
      <c r="H22" s="69">
        <f t="shared" si="9"/>
        <v>205887.75863734263</v>
      </c>
      <c r="I22" s="178">
        <f t="shared" si="7"/>
        <v>1</v>
      </c>
      <c r="J22" s="179">
        <f t="shared" si="2"/>
        <v>111076</v>
      </c>
      <c r="K22" s="180">
        <f t="shared" si="3"/>
        <v>1</v>
      </c>
      <c r="L22" s="67">
        <f>IF($A22="","",SUM(J$9:J22))</f>
        <v>2485142</v>
      </c>
    </row>
    <row r="23" spans="1:12" ht="12.75">
      <c r="A23" s="32">
        <f t="shared" si="6"/>
        <v>36434</v>
      </c>
      <c r="B23" s="170">
        <f t="shared" si="0"/>
        <v>171436</v>
      </c>
      <c r="C23" s="164">
        <f t="shared" si="4"/>
        <v>1</v>
      </c>
      <c r="D23" s="169">
        <f t="shared" si="5"/>
        <v>171436</v>
      </c>
      <c r="E23" s="51">
        <f>IF($A23="","",IF(VLOOKUP($A23,TrendFacDump,2,FALSE)=0,0,VLOOKUP(EOMONTH(ValDat,-1)+1,TrendFacDump,2,FALSE)/VLOOKUP($A23,TrendFacDump,2,FALSE)))</f>
        <v>1.107297087808659</v>
      </c>
      <c r="F23" s="50">
        <f ca="1" t="shared" si="8"/>
        <v>69.11343749494226</v>
      </c>
      <c r="G23" s="50">
        <f t="shared" si="1"/>
        <v>2943.35</v>
      </c>
      <c r="H23" s="69">
        <f t="shared" si="9"/>
        <v>203425.0362507383</v>
      </c>
      <c r="I23" s="178">
        <f t="shared" si="7"/>
        <v>1</v>
      </c>
      <c r="J23" s="179">
        <f t="shared" si="2"/>
        <v>171436</v>
      </c>
      <c r="K23" s="180">
        <f t="shared" si="3"/>
        <v>1</v>
      </c>
      <c r="L23" s="67">
        <f>IF($A23="","",SUM(J$9:J23))</f>
        <v>2656578</v>
      </c>
    </row>
    <row r="24" spans="1:12" ht="12.75">
      <c r="A24" s="32">
        <f t="shared" si="6"/>
        <v>36465</v>
      </c>
      <c r="B24" s="170">
        <f t="shared" si="0"/>
        <v>171436</v>
      </c>
      <c r="C24" s="164">
        <f t="shared" si="4"/>
        <v>1</v>
      </c>
      <c r="D24" s="169">
        <f t="shared" si="5"/>
        <v>171436</v>
      </c>
      <c r="E24" s="51">
        <f>IF($A24="","",IF(VLOOKUP($A24,TrendFacDump,2,FALSE)=0,0,VLOOKUP(EOMONTH(ValDat,-1)+1,TrendFacDump,2,FALSE)/VLOOKUP($A24,TrendFacDump,2,FALSE)))</f>
        <v>1.1019283746556474</v>
      </c>
      <c r="F24" s="50">
        <f ca="1" t="shared" si="8"/>
        <v>64.983390444563</v>
      </c>
      <c r="G24" s="50">
        <f t="shared" si="1"/>
        <v>3014.083</v>
      </c>
      <c r="H24" s="69">
        <f t="shared" si="9"/>
        <v>195865.3324213198</v>
      </c>
      <c r="I24" s="178">
        <f t="shared" si="7"/>
        <v>1</v>
      </c>
      <c r="J24" s="179">
        <f t="shared" si="2"/>
        <v>171436</v>
      </c>
      <c r="K24" s="180">
        <f t="shared" si="3"/>
        <v>1</v>
      </c>
      <c r="L24" s="67">
        <f>IF($A24="","",SUM(J$9:J24))</f>
        <v>2828014</v>
      </c>
    </row>
    <row r="25" spans="1:12" ht="12.75">
      <c r="A25" s="32">
        <f t="shared" si="6"/>
        <v>36495</v>
      </c>
      <c r="B25" s="170">
        <f t="shared" si="0"/>
        <v>111538</v>
      </c>
      <c r="C25" s="164">
        <f t="shared" si="4"/>
        <v>1</v>
      </c>
      <c r="D25" s="169">
        <f t="shared" si="5"/>
        <v>111538</v>
      </c>
      <c r="E25" s="51">
        <f>IF($A25="","",IF(VLOOKUP($A25,TrendFacDump,2,FALSE)=0,0,VLOOKUP(EOMONTH(ValDat,-1)+1,TrendFacDump,2,FALSE)/VLOOKUP($A25,TrendFacDump,2,FALSE)))</f>
        <v>1.096611470555982</v>
      </c>
      <c r="F25" s="50">
        <f ca="1" t="shared" si="8"/>
        <v>60.85388040409071</v>
      </c>
      <c r="G25" s="50">
        <f t="shared" si="1"/>
        <v>3018.721</v>
      </c>
      <c r="H25" s="69">
        <f t="shared" si="9"/>
        <v>183700.8867073171</v>
      </c>
      <c r="I25" s="178">
        <f t="shared" si="7"/>
        <v>1</v>
      </c>
      <c r="J25" s="179">
        <f t="shared" si="2"/>
        <v>111538</v>
      </c>
      <c r="K25" s="180">
        <f t="shared" si="3"/>
        <v>1</v>
      </c>
      <c r="L25" s="67">
        <f>IF($A25="","",SUM(J$9:J25))</f>
        <v>2939552</v>
      </c>
    </row>
    <row r="26" spans="1:12" ht="12.75">
      <c r="A26" s="32">
        <f t="shared" si="6"/>
        <v>36526</v>
      </c>
      <c r="B26" s="170">
        <f t="shared" si="0"/>
        <v>111538</v>
      </c>
      <c r="C26" s="164">
        <f t="shared" si="4"/>
        <v>1</v>
      </c>
      <c r="D26" s="169">
        <f t="shared" si="5"/>
        <v>111538</v>
      </c>
      <c r="E26" s="51">
        <f>IF($A26="","",IF(VLOOKUP($A26,TrendFacDump,2,FALSE)=0,0,VLOOKUP(EOMONTH(ValDat,-1)+1,TrendFacDump,2,FALSE)/VLOOKUP($A26,TrendFacDump,2,FALSE)))</f>
        <v>1.0913456291607553</v>
      </c>
      <c r="F26" s="50">
        <f ca="1" t="shared" si="8"/>
        <v>60.67145153619745</v>
      </c>
      <c r="G26" s="50">
        <f t="shared" si="1"/>
        <v>3003.323</v>
      </c>
      <c r="H26" s="69">
        <f t="shared" si="9"/>
        <v>182215.96584204712</v>
      </c>
      <c r="I26" s="178">
        <f t="shared" si="7"/>
        <v>1</v>
      </c>
      <c r="J26" s="179">
        <f t="shared" si="2"/>
        <v>111538</v>
      </c>
      <c r="K26" s="180">
        <f t="shared" si="3"/>
        <v>1</v>
      </c>
      <c r="L26" s="67">
        <f>IF($A26="","",SUM(J$9:J26))</f>
        <v>3051090</v>
      </c>
    </row>
    <row r="27" spans="1:12" ht="12.75">
      <c r="A27" s="32">
        <f t="shared" si="6"/>
        <v>36557</v>
      </c>
      <c r="B27" s="170">
        <f t="shared" si="0"/>
        <v>211563</v>
      </c>
      <c r="C27" s="164">
        <f t="shared" si="4"/>
        <v>1</v>
      </c>
      <c r="D27" s="169">
        <f t="shared" si="5"/>
        <v>211563</v>
      </c>
      <c r="E27" s="51">
        <f>IF($A27="","",IF(VLOOKUP($A27,TrendFacDump,2,FALSE)=0,0,VLOOKUP(EOMONTH(ValDat,-1)+1,TrendFacDump,2,FALSE)/VLOOKUP($A27,TrendFacDump,2,FALSE)))</f>
        <v>1.0860121633362294</v>
      </c>
      <c r="F27" s="50">
        <f ca="1" t="shared" si="8"/>
        <v>60.538208539908226</v>
      </c>
      <c r="G27" s="50">
        <f t="shared" si="1"/>
        <v>3006.059</v>
      </c>
      <c r="H27" s="69">
        <f t="shared" si="9"/>
        <v>181981.42662526798</v>
      </c>
      <c r="I27" s="178">
        <f t="shared" si="7"/>
        <v>1</v>
      </c>
      <c r="J27" s="179">
        <f t="shared" si="2"/>
        <v>211563</v>
      </c>
      <c r="K27" s="180">
        <f t="shared" si="3"/>
        <v>1</v>
      </c>
      <c r="L27" s="67">
        <f>IF($A27="","",SUM(J$9:J27))</f>
        <v>3262653</v>
      </c>
    </row>
    <row r="28" spans="1:12" ht="12.75">
      <c r="A28" s="32">
        <f t="shared" si="6"/>
        <v>36586</v>
      </c>
      <c r="B28" s="170">
        <f t="shared" si="0"/>
        <v>211563</v>
      </c>
      <c r="C28" s="164">
        <f t="shared" si="4"/>
        <v>0.99965</v>
      </c>
      <c r="D28" s="169">
        <f t="shared" si="5"/>
        <v>211637.07297554144</v>
      </c>
      <c r="E28" s="51">
        <f>IF($A28="","",IF(VLOOKUP($A28,TrendFacDump,2,FALSE)=0,0,VLOOKUP(EOMONTH(ValDat,-1)+1,TrendFacDump,2,FALSE)/VLOOKUP($A28,TrendFacDump,2,FALSE)))</f>
        <v>1.0808473843493298</v>
      </c>
      <c r="F28" s="50">
        <f ca="1" t="shared" si="8"/>
        <v>61.55582232727061</v>
      </c>
      <c r="G28" s="50">
        <f t="shared" si="1"/>
        <v>3001.39</v>
      </c>
      <c r="H28" s="69">
        <f t="shared" si="9"/>
        <v>184753.02957484673</v>
      </c>
      <c r="I28" s="178">
        <f t="shared" si="7"/>
        <v>0.99965</v>
      </c>
      <c r="J28" s="179">
        <f t="shared" si="2"/>
        <v>211627.66356035118</v>
      </c>
      <c r="K28" s="180">
        <f t="shared" si="3"/>
        <v>0.9996944465611759</v>
      </c>
      <c r="L28" s="67">
        <f>IF($A28="","",SUM(J$9:J28))</f>
        <v>3474280.6635603514</v>
      </c>
    </row>
    <row r="29" spans="1:12" ht="12.75">
      <c r="A29" s="32">
        <f t="shared" si="6"/>
        <v>36617</v>
      </c>
      <c r="B29" s="170">
        <f t="shared" si="0"/>
        <v>183194</v>
      </c>
      <c r="C29" s="164">
        <f t="shared" si="4"/>
        <v>0.99874</v>
      </c>
      <c r="D29" s="169">
        <f t="shared" si="5"/>
        <v>183425.1156457136</v>
      </c>
      <c r="E29" s="51">
        <f>IF($A29="","",IF(VLOOKUP($A29,TrendFacDump,2,FALSE)=0,0,VLOOKUP(EOMONTH(ValDat,-1)+1,TrendFacDump,2,FALSE)/VLOOKUP($A29,TrendFacDump,2,FALSE)))</f>
        <v>1.0755001075500108</v>
      </c>
      <c r="F29" s="50">
        <f ca="1" t="shared" si="8"/>
        <v>62.61482972438752</v>
      </c>
      <c r="G29" s="50">
        <f t="shared" si="1"/>
        <v>3027.804</v>
      </c>
      <c r="H29" s="69">
        <f t="shared" si="9"/>
        <v>189585.43189881943</v>
      </c>
      <c r="I29" s="178">
        <f t="shared" si="7"/>
        <v>0.99874</v>
      </c>
      <c r="J29" s="179">
        <f t="shared" si="2"/>
        <v>183432.87764419251</v>
      </c>
      <c r="K29" s="180">
        <f t="shared" si="3"/>
        <v>0.9986977381194669</v>
      </c>
      <c r="L29" s="67">
        <f>IF($A29="","",SUM(J$9:J29))</f>
        <v>3657713.541204544</v>
      </c>
    </row>
    <row r="30" spans="1:12" ht="12.75">
      <c r="A30" s="32">
        <f t="shared" si="6"/>
        <v>36647</v>
      </c>
      <c r="B30" s="170">
        <f t="shared" si="0"/>
        <v>183194</v>
      </c>
      <c r="C30" s="164">
        <f t="shared" si="4"/>
        <v>0.99492</v>
      </c>
      <c r="D30" s="169">
        <f t="shared" si="5"/>
        <v>184129.3772363607</v>
      </c>
      <c r="E30" s="51">
        <f>IF($A30="","",IF(VLOOKUP($A30,TrendFacDump,2,FALSE)=0,0,VLOOKUP(EOMONTH(ValDat,-1)+1,TrendFacDump,2,FALSE)/VLOOKUP($A30,TrendFacDump,2,FALSE)))</f>
        <v>1.0703200256876806</v>
      </c>
      <c r="F30" s="50">
        <f ca="1" t="shared" si="8"/>
        <v>62.74759374079164</v>
      </c>
      <c r="G30" s="50">
        <f t="shared" si="1"/>
        <v>3053.259</v>
      </c>
      <c r="H30" s="69">
        <f t="shared" si="9"/>
        <v>191584.65531741575</v>
      </c>
      <c r="I30" s="178">
        <f t="shared" si="7"/>
        <v>0.99492</v>
      </c>
      <c r="J30" s="179">
        <f t="shared" si="2"/>
        <v>184167.25004901248</v>
      </c>
      <c r="K30" s="180">
        <f t="shared" si="3"/>
        <v>0.9947154010892085</v>
      </c>
      <c r="L30" s="67">
        <f>IF($A30="","",SUM(J$9:J30))</f>
        <v>3841880.7912535565</v>
      </c>
    </row>
    <row r="31" spans="1:12" ht="12.75">
      <c r="A31" s="32">
        <f t="shared" si="6"/>
        <v>36678</v>
      </c>
      <c r="B31" s="170">
        <f t="shared" si="0"/>
        <v>329297</v>
      </c>
      <c r="C31" s="164">
        <f t="shared" si="4"/>
        <v>0.99492</v>
      </c>
      <c r="D31" s="169">
        <f t="shared" si="5"/>
        <v>330978.3701202107</v>
      </c>
      <c r="E31" s="51">
        <f>IF($A31="","",IF(VLOOKUP($A31,TrendFacDump,2,FALSE)=0,0,VLOOKUP(EOMONTH(ValDat,-1)+1,TrendFacDump,2,FALSE)/VLOOKUP($A31,TrendFacDump,2,FALSE)))</f>
        <v>1.0651896037494675</v>
      </c>
      <c r="F31" s="50">
        <f ca="1" t="shared" si="8"/>
        <v>62.791738143572296</v>
      </c>
      <c r="G31" s="50">
        <f t="shared" si="1"/>
        <v>3019.494</v>
      </c>
      <c r="H31" s="69">
        <f t="shared" si="9"/>
        <v>189599.2765740877</v>
      </c>
      <c r="I31" s="178">
        <f t="shared" si="7"/>
        <v>0.99492</v>
      </c>
      <c r="J31" s="179">
        <f t="shared" si="2"/>
        <v>330260.16432499635</v>
      </c>
      <c r="K31" s="180">
        <f t="shared" si="3"/>
        <v>0.9970836194338941</v>
      </c>
      <c r="L31" s="67">
        <f>IF($A31="","",SUM(J$9:J31))</f>
        <v>4172140.955578553</v>
      </c>
    </row>
    <row r="32" spans="1:12" ht="12.75">
      <c r="A32" s="32">
        <f t="shared" si="6"/>
        <v>36708</v>
      </c>
      <c r="B32" s="170">
        <f t="shared" si="0"/>
        <v>329297</v>
      </c>
      <c r="C32" s="164">
        <f t="shared" si="4"/>
        <v>0.99492</v>
      </c>
      <c r="D32" s="169">
        <f t="shared" si="5"/>
        <v>330978.3701202107</v>
      </c>
      <c r="E32" s="51">
        <f>IF($A32="","",IF(VLOOKUP($A32,TrendFacDump,2,FALSE)=0,0,VLOOKUP(EOMONTH(ValDat,-1)+1,TrendFacDump,2,FALSE)/VLOOKUP($A32,TrendFacDump,2,FALSE)))</f>
        <v>1.0599957600169598</v>
      </c>
      <c r="F32" s="50">
        <f ca="1" t="shared" si="8"/>
        <v>63.3060980782318</v>
      </c>
      <c r="G32" s="50">
        <f t="shared" si="1"/>
        <v>3006.066</v>
      </c>
      <c r="H32" s="69">
        <f t="shared" si="9"/>
        <v>190302.30902563795</v>
      </c>
      <c r="I32" s="178">
        <f t="shared" si="7"/>
        <v>0.99492</v>
      </c>
      <c r="J32" s="179">
        <f t="shared" si="2"/>
        <v>330263.73572985025</v>
      </c>
      <c r="K32" s="180">
        <f t="shared" si="3"/>
        <v>0.9970728371744665</v>
      </c>
      <c r="L32" s="67">
        <f>IF($A32="","",SUM(J$9:J32))</f>
        <v>4502404.691308403</v>
      </c>
    </row>
    <row r="33" spans="1:12" ht="12.75">
      <c r="A33" s="32">
        <f t="shared" si="6"/>
        <v>36739</v>
      </c>
      <c r="B33" s="170">
        <f t="shared" si="0"/>
        <v>281510</v>
      </c>
      <c r="C33" s="164">
        <f t="shared" si="4"/>
        <v>0.99492</v>
      </c>
      <c r="D33" s="169">
        <f t="shared" si="5"/>
        <v>282947.37265307765</v>
      </c>
      <c r="E33" s="51">
        <f>IF($A33="","",IF(VLOOKUP($A33,TrendFacDump,2,FALSE)=0,0,VLOOKUP(EOMONTH(ValDat,-1)+1,TrendFacDump,2,FALSE)/VLOOKUP($A33,TrendFacDump,2,FALSE)))</f>
        <v>1.0548523206751055</v>
      </c>
      <c r="F33" s="50">
        <f ca="1" t="shared" si="8"/>
        <v>63.822708444199804</v>
      </c>
      <c r="G33" s="50">
        <f t="shared" si="1"/>
        <v>2987.363</v>
      </c>
      <c r="H33" s="69">
        <f t="shared" si="9"/>
        <v>190661.59776599004</v>
      </c>
      <c r="I33" s="178">
        <f t="shared" si="7"/>
        <v>0.99492</v>
      </c>
      <c r="J33" s="179">
        <f t="shared" si="2"/>
        <v>282478.5609166512</v>
      </c>
      <c r="K33" s="180">
        <f t="shared" si="3"/>
        <v>0.9965712055686343</v>
      </c>
      <c r="L33" s="67">
        <f>IF($A33="","",SUM(J$9:J33))</f>
        <v>4784883.252225054</v>
      </c>
    </row>
    <row r="34" spans="1:12" ht="12.75">
      <c r="A34" s="32">
        <f t="shared" si="6"/>
        <v>36770</v>
      </c>
      <c r="B34" s="170">
        <f t="shared" si="0"/>
        <v>281510</v>
      </c>
      <c r="C34" s="164">
        <f t="shared" si="4"/>
        <v>0.99332</v>
      </c>
      <c r="D34" s="169">
        <f t="shared" si="5"/>
        <v>283403.1329279588</v>
      </c>
      <c r="E34" s="51">
        <f>IF($A34="","",IF(VLOOKUP($A34,TrendFacDump,2,FALSE)=0,0,VLOOKUP(EOMONTH(ValDat,-1)+1,TrendFacDump,2,FALSE)/VLOOKUP($A34,TrendFacDump,2,FALSE)))</f>
        <v>1.0497585555322275</v>
      </c>
      <c r="F34" s="50">
        <f ca="1" t="shared" si="8"/>
        <v>68.6709608198728</v>
      </c>
      <c r="G34" s="50">
        <f t="shared" si="1"/>
        <v>2953.335</v>
      </c>
      <c r="H34" s="69">
        <f t="shared" si="9"/>
        <v>202808.35207295904</v>
      </c>
      <c r="I34" s="178">
        <f t="shared" si="7"/>
        <v>0.99332</v>
      </c>
      <c r="J34" s="179">
        <f t="shared" si="2"/>
        <v>282864.7597918474</v>
      </c>
      <c r="K34" s="180">
        <f t="shared" si="3"/>
        <v>0.9952105741526647</v>
      </c>
      <c r="L34" s="67">
        <f>IF($A34="","",SUM(J$9:J34))</f>
        <v>5067748.012016902</v>
      </c>
    </row>
    <row r="35" spans="1:12" ht="12.75">
      <c r="A35" s="32">
        <f t="shared" si="6"/>
        <v>36800</v>
      </c>
      <c r="B35" s="170">
        <f t="shared" si="0"/>
        <v>183309</v>
      </c>
      <c r="C35" s="164">
        <f t="shared" si="4"/>
        <v>0.99184</v>
      </c>
      <c r="D35" s="169">
        <f t="shared" si="5"/>
        <v>184817.10759799965</v>
      </c>
      <c r="E35" s="51">
        <f>IF($A35="","",IF(VLOOKUP($A35,TrendFacDump,2,FALSE)=0,0,VLOOKUP(EOMONTH(ValDat,-1)+1,TrendFacDump,2,FALSE)/VLOOKUP($A35,TrendFacDump,2,FALSE)))</f>
        <v>1.0447137484329294</v>
      </c>
      <c r="F35" s="50">
        <f ca="1" t="shared" si="8"/>
        <v>73.64654470508675</v>
      </c>
      <c r="G35" s="50">
        <f t="shared" si="1"/>
        <v>2927.266</v>
      </c>
      <c r="H35" s="69">
        <f t="shared" si="9"/>
        <v>215583.02633268049</v>
      </c>
      <c r="I35" s="178">
        <f t="shared" si="7"/>
        <v>0.99184</v>
      </c>
      <c r="J35" s="179">
        <f t="shared" si="2"/>
        <v>185068.15749487467</v>
      </c>
      <c r="K35" s="180">
        <f t="shared" si="3"/>
        <v>0.9904945425583361</v>
      </c>
      <c r="L35" s="67">
        <f>IF($A35="","",SUM(J$9:J35))</f>
        <v>5252816.169511776</v>
      </c>
    </row>
    <row r="36" spans="1:12" ht="12.75">
      <c r="A36" s="32">
        <f t="shared" si="6"/>
        <v>36831</v>
      </c>
      <c r="B36" s="170">
        <f t="shared" si="0"/>
        <v>183309</v>
      </c>
      <c r="C36" s="164">
        <f t="shared" si="4"/>
        <v>0.99062</v>
      </c>
      <c r="D36" s="169">
        <f t="shared" si="5"/>
        <v>185044.71946861563</v>
      </c>
      <c r="E36" s="51">
        <f>IF($A36="","",IF(VLOOKUP($A36,TrendFacDump,2,FALSE)=0,0,VLOOKUP(EOMONTH(ValDat,-1)+1,TrendFacDump,2,FALSE)/VLOOKUP($A36,TrendFacDump,2,FALSE)))</f>
        <v>1.0396091069757771</v>
      </c>
      <c r="F36" s="50">
        <f ca="1" t="shared" si="8"/>
        <v>74.13501828193274</v>
      </c>
      <c r="G36" s="50">
        <f t="shared" si="1"/>
        <v>2897.225</v>
      </c>
      <c r="H36" s="69">
        <f t="shared" si="9"/>
        <v>214785.82834187258</v>
      </c>
      <c r="I36" s="178">
        <f t="shared" si="7"/>
        <v>0.99062</v>
      </c>
      <c r="J36" s="179">
        <f t="shared" si="2"/>
        <v>185323.69106984677</v>
      </c>
      <c r="K36" s="180">
        <f t="shared" si="3"/>
        <v>0.9891287991394071</v>
      </c>
      <c r="L36" s="67">
        <f>IF($A36="","",SUM(J$9:J36))</f>
        <v>5438139.860581623</v>
      </c>
    </row>
    <row r="37" spans="1:12" ht="12.75">
      <c r="A37" s="32">
        <f t="shared" si="6"/>
        <v>36861</v>
      </c>
      <c r="B37" s="170">
        <f t="shared" si="0"/>
        <v>83695</v>
      </c>
      <c r="C37" s="164">
        <f t="shared" si="4"/>
        <v>0.98427</v>
      </c>
      <c r="D37" s="169">
        <f t="shared" si="5"/>
        <v>85032.56220346043</v>
      </c>
      <c r="E37" s="51">
        <f>IF($A37="","",IF(VLOOKUP($A37,TrendFacDump,2,FALSE)=0,0,VLOOKUP(EOMONTH(ValDat,-1)+1,TrendFacDump,2,FALSE)/VLOOKUP($A37,TrendFacDump,2,FALSE)))</f>
        <v>1.0345541071798054</v>
      </c>
      <c r="F37" s="50">
        <f ca="1" t="shared" si="8"/>
        <v>74.84081316396451</v>
      </c>
      <c r="G37" s="50">
        <f t="shared" si="1"/>
        <v>2887.18</v>
      </c>
      <c r="H37" s="69">
        <f t="shared" si="9"/>
        <v>216078.89895073505</v>
      </c>
      <c r="I37" s="178">
        <f t="shared" si="7"/>
        <v>0.98427</v>
      </c>
      <c r="J37" s="179">
        <f t="shared" si="2"/>
        <v>87093.92108049507</v>
      </c>
      <c r="K37" s="180">
        <f t="shared" si="3"/>
        <v>0.9609740721473123</v>
      </c>
      <c r="L37" s="67">
        <f>IF($A37="","",SUM(J$9:J37))</f>
        <v>5525233.781662119</v>
      </c>
    </row>
    <row r="38" spans="1:12" ht="12.75">
      <c r="A38" s="32">
        <f t="shared" si="6"/>
        <v>36892</v>
      </c>
      <c r="B38" s="170">
        <f t="shared" si="0"/>
        <v>83695</v>
      </c>
      <c r="C38" s="164">
        <f t="shared" si="4"/>
        <v>0.95502</v>
      </c>
      <c r="D38" s="169">
        <f t="shared" si="5"/>
        <v>87636.90812757848</v>
      </c>
      <c r="E38" s="51">
        <f>IF($A38="","",IF(VLOOKUP($A38,TrendFacDump,2,FALSE)=0,0,VLOOKUP(EOMONTH(ValDat,-1)+1,TrendFacDump,2,FALSE)/VLOOKUP($A38,TrendFacDump,2,FALSE)))</f>
        <v>1.0295480284155256</v>
      </c>
      <c r="F38" s="50">
        <f ca="1" t="shared" si="8"/>
        <v>74.60662963457132</v>
      </c>
      <c r="G38" s="50">
        <f t="shared" si="1"/>
        <v>2887.803</v>
      </c>
      <c r="H38" s="69">
        <f t="shared" si="9"/>
        <v>215449.24887860395</v>
      </c>
      <c r="I38" s="178">
        <f t="shared" si="7"/>
        <v>0.95502</v>
      </c>
      <c r="J38" s="179">
        <f t="shared" si="2"/>
        <v>93385.90721455961</v>
      </c>
      <c r="K38" s="180">
        <f t="shared" si="3"/>
        <v>0.8962273055580626</v>
      </c>
      <c r="L38" s="67">
        <f>IF($A38="","",SUM(J$9:J38))</f>
        <v>5618619.688876678</v>
      </c>
    </row>
    <row r="39" spans="1:12" ht="12.75">
      <c r="A39" s="32">
        <f t="shared" si="6"/>
        <v>36923</v>
      </c>
      <c r="B39" s="170">
        <f t="shared" si="0"/>
        <v>140421</v>
      </c>
      <c r="C39" s="164">
        <f t="shared" si="4"/>
        <v>0.9232</v>
      </c>
      <c r="D39" s="169">
        <f t="shared" si="5"/>
        <v>152102.46967071056</v>
      </c>
      <c r="E39" s="51">
        <f>IF($A39="","",IF(VLOOKUP($A39,TrendFacDump,2,FALSE)=0,0,VLOOKUP(EOMONTH(ValDat,-1)+1,TrendFacDump,2,FALSE)/VLOOKUP($A39,TrendFacDump,2,FALSE)))</f>
        <v>1.0245901639344261</v>
      </c>
      <c r="F39" s="50">
        <f ca="1" t="shared" si="8"/>
        <v>74.5102763599894</v>
      </c>
      <c r="G39" s="50">
        <f t="shared" si="1"/>
        <v>2887.028</v>
      </c>
      <c r="H39" s="69">
        <f t="shared" si="9"/>
        <v>215113.25413902747</v>
      </c>
      <c r="I39" s="178">
        <f t="shared" si="7"/>
        <v>0.9232</v>
      </c>
      <c r="J39" s="179">
        <f t="shared" si="2"/>
        <v>156941.6979178773</v>
      </c>
      <c r="K39" s="180">
        <f t="shared" si="3"/>
        <v>0.8947335339361369</v>
      </c>
      <c r="L39" s="67">
        <f>IF($A39="","",SUM(J$9:J39))</f>
        <v>5775561.386794556</v>
      </c>
    </row>
    <row r="40" spans="1:12" ht="12.75">
      <c r="A40" s="32">
        <f t="shared" si="6"/>
        <v>36951</v>
      </c>
      <c r="B40" s="170">
        <f t="shared" si="0"/>
        <v>140421</v>
      </c>
      <c r="C40" s="164">
        <f t="shared" si="4"/>
        <v>0.8931</v>
      </c>
      <c r="D40" s="169">
        <f t="shared" si="5"/>
        <v>157228.7537789721</v>
      </c>
      <c r="E40" s="51">
        <f>IF($A40="","",IF(VLOOKUP($A40,TrendFacDump,2,FALSE)=0,0,VLOOKUP(EOMONTH(ValDat,-1)+1,TrendFacDump,2,FALSE)/VLOOKUP($A40,TrendFacDump,2,FALSE)))</f>
        <v>1.0195758564437194</v>
      </c>
      <c r="F40" s="50">
        <f ca="1" t="shared" si="8"/>
        <v>73.22420720685456</v>
      </c>
      <c r="G40" s="50">
        <f t="shared" si="1"/>
        <v>2848.341</v>
      </c>
      <c r="H40" s="69">
        <f t="shared" si="9"/>
        <v>208567.5115797793</v>
      </c>
      <c r="I40" s="178">
        <f t="shared" si="7"/>
        <v>0.8931</v>
      </c>
      <c r="J40" s="179">
        <f t="shared" si="2"/>
        <v>162716.8669878784</v>
      </c>
      <c r="K40" s="180">
        <f t="shared" si="3"/>
        <v>0.8629775302302292</v>
      </c>
      <c r="L40" s="67">
        <f>IF($A40="","",SUM(J$9:J40))</f>
        <v>5938278.253782434</v>
      </c>
    </row>
    <row r="41" spans="1:12" ht="12.75">
      <c r="A41" s="32">
        <f t="shared" si="6"/>
        <v>36982</v>
      </c>
      <c r="B41" s="170">
        <f t="shared" si="0"/>
        <v>122179</v>
      </c>
      <c r="C41" s="164">
        <f t="shared" si="4"/>
        <v>0.82329</v>
      </c>
      <c r="D41" s="169">
        <f t="shared" si="5"/>
        <v>148403.35726171822</v>
      </c>
      <c r="E41" s="51">
        <f>IF($A41="","",IF(VLOOKUP($A41,TrendFacDump,2,FALSE)=0,0,VLOOKUP(EOMONTH(ValDat,-1)+1,TrendFacDump,2,FALSE)/VLOOKUP($A41,TrendFacDump,2,FALSE)))</f>
        <v>1.0147133434804667</v>
      </c>
      <c r="F41" s="50">
        <f ca="1" t="shared" si="8"/>
        <v>72.14320955961465</v>
      </c>
      <c r="G41" s="50">
        <f t="shared" si="1"/>
        <v>2809.872</v>
      </c>
      <c r="H41" s="69">
        <f t="shared" si="9"/>
        <v>202713.18453169352</v>
      </c>
      <c r="I41" s="178">
        <f t="shared" si="7"/>
        <v>0.82329</v>
      </c>
      <c r="J41" s="179">
        <f t="shared" si="2"/>
        <v>158000.44683859556</v>
      </c>
      <c r="K41" s="180">
        <f t="shared" si="3"/>
        <v>0.7732826232118903</v>
      </c>
      <c r="L41" s="67">
        <f>IF($A41="","",SUM(J$9:J41))</f>
        <v>6096278.70062103</v>
      </c>
    </row>
    <row r="42" spans="1:12" ht="12.75">
      <c r="A42" s="32">
        <f t="shared" si="6"/>
        <v>37012</v>
      </c>
      <c r="B42" s="170">
        <f t="shared" si="0"/>
        <v>122179</v>
      </c>
      <c r="C42" s="164">
        <f t="shared" si="4"/>
        <v>0.53696</v>
      </c>
      <c r="D42" s="169">
        <f t="shared" si="5"/>
        <v>227538.3641239571</v>
      </c>
      <c r="E42" s="51">
        <f>IF($A42="","",IF(VLOOKUP($A42,TrendFacDump,2,FALSE)=0,0,VLOOKUP(EOMONTH(ValDat,-1)+1,TrendFacDump,2,FALSE)/VLOOKUP($A42,TrendFacDump,2,FALSE)))</f>
        <v>1.0097950116126426</v>
      </c>
      <c r="F42" s="50">
        <f ca="1" t="shared" si="8"/>
        <v>71.90309482091152</v>
      </c>
      <c r="G42" s="50">
        <f t="shared" si="1"/>
        <v>2815.611</v>
      </c>
      <c r="H42" s="69">
        <f t="shared" si="9"/>
        <v>202451.1447118015</v>
      </c>
      <c r="I42" s="178">
        <f t="shared" si="7"/>
        <v>0.53696</v>
      </c>
      <c r="J42" s="179">
        <f t="shared" si="2"/>
        <v>215921.97804735258</v>
      </c>
      <c r="K42" s="180">
        <f t="shared" si="3"/>
        <v>0.5658479099946261</v>
      </c>
      <c r="L42" s="67">
        <f>IF($A42="","",SUM(J$9:J42))</f>
        <v>6312200.678668383</v>
      </c>
    </row>
    <row r="43" spans="1:12" ht="12.75">
      <c r="A43" s="32">
        <f t="shared" si="6"/>
        <v>37043</v>
      </c>
      <c r="B43" s="170">
        <f t="shared" si="0"/>
        <v>0</v>
      </c>
      <c r="C43" s="164">
        <f t="shared" si="4"/>
        <v>0.30663</v>
      </c>
      <c r="D43" s="169">
        <f t="shared" si="5"/>
        <v>0</v>
      </c>
      <c r="E43" s="51">
        <f>IF($A43="","",IF(VLOOKUP($A43,TrendFacDump,2,FALSE)=0,0,VLOOKUP(EOMONTH(ValDat,-1)+1,TrendFacDump,2,FALSE)/VLOOKUP($A43,TrendFacDump,2,FALSE)))</f>
        <v>1.004823151125402</v>
      </c>
      <c r="F43" s="50">
        <f ca="1" t="shared" si="8"/>
        <v>73.34660422410217</v>
      </c>
      <c r="G43" s="50">
        <f t="shared" si="1"/>
        <v>2810.516</v>
      </c>
      <c r="H43" s="69">
        <f t="shared" si="9"/>
        <v>206141.80471750672</v>
      </c>
      <c r="I43" s="178">
        <f t="shared" si="7"/>
        <v>0.30663</v>
      </c>
      <c r="J43" s="179">
        <f t="shared" si="2"/>
        <v>142932.54313697765</v>
      </c>
      <c r="K43" s="180">
        <f t="shared" si="3"/>
        <v>0</v>
      </c>
      <c r="L43" s="67">
        <f>IF($A43="","",SUM(J$9:J43))</f>
        <v>6455133.22180536</v>
      </c>
    </row>
    <row r="44" spans="1:12" ht="13.5" thickBot="1">
      <c r="A44" s="32">
        <f t="shared" si="6"/>
        <v>37073</v>
      </c>
      <c r="B44" s="170">
        <f t="shared" si="0"/>
        <v>0</v>
      </c>
      <c r="C44" s="164">
        <f t="shared" si="4"/>
        <v>0.05227</v>
      </c>
      <c r="D44" s="169">
        <f t="shared" si="5"/>
        <v>0</v>
      </c>
      <c r="E44" s="51">
        <f>IF($A44="","",IF(VLOOKUP($A44,TrendFacDump,2,FALSE)=0,0,VLOOKUP(EOMONTH(ValDat,-1)+1,TrendFacDump,2,FALSE)/VLOOKUP($A44,TrendFacDump,2,FALSE)))</f>
        <v>1</v>
      </c>
      <c r="F44" s="50">
        <f ca="1" t="shared" si="8"/>
        <v>68.14796671409866</v>
      </c>
      <c r="G44" s="50">
        <f t="shared" si="1"/>
        <v>2830.074</v>
      </c>
      <c r="H44" s="69">
        <f t="shared" si="9"/>
        <v>192863.78875043604</v>
      </c>
      <c r="I44" s="178">
        <f t="shared" si="7"/>
        <v>0.05227</v>
      </c>
      <c r="J44" s="179">
        <f t="shared" si="2"/>
        <v>182782.79851245074</v>
      </c>
      <c r="K44" s="180">
        <f t="shared" si="3"/>
        <v>0</v>
      </c>
      <c r="L44" s="67">
        <f>IF($A44="","",SUM(J$9:J44))</f>
        <v>6637916.020317811</v>
      </c>
    </row>
    <row r="45" spans="1:12" ht="13.5" thickTop="1">
      <c r="A45" s="7"/>
      <c r="B45" s="173">
        <f>SUM(B9:B44)</f>
        <v>6121426</v>
      </c>
      <c r="C45" s="81"/>
      <c r="D45" s="174">
        <f>SUM(D9:D44)</f>
        <v>6297956.0539120855</v>
      </c>
      <c r="E45" s="7"/>
      <c r="F45" s="7"/>
      <c r="G45" s="52">
        <f>SUM(G9:G44)</f>
        <v>104079.17000000001</v>
      </c>
      <c r="H45" s="79">
        <f>SUM(H9:H44)</f>
        <v>6732177.926838836</v>
      </c>
      <c r="I45" s="184"/>
      <c r="J45" s="71">
        <f>SUM(J9:J44)</f>
        <v>6637916.020317811</v>
      </c>
      <c r="K45" s="185">
        <f>IF(J45=0,0,B45/J45)</f>
        <v>0.9221909378279417</v>
      </c>
      <c r="L45" s="80"/>
    </row>
    <row r="46" ht="12.75"/>
    <row r="47" ht="12.75">
      <c r="K47" s="1" t="s">
        <v>46</v>
      </c>
    </row>
  </sheetData>
  <printOptions/>
  <pageMargins left="0.75" right="0.75" top="1" bottom="1" header="0.5" footer="0.5"/>
  <pageSetup blackAndWhite="1" cellComments="asDisplayed" fitToHeight="1" fitToWidth="1" horizontalDpi="600" verticalDpi="600" orientation="landscape" scale="73" r:id="rId4"/>
  <headerFooter alignWithMargins="0">
    <oddFooter>&amp;L&amp;"Arial Narrow,Regular"&amp;9&amp;F &amp;A &amp;P / &amp;N
&amp;D &amp;T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1"/>
  <sheetViews>
    <sheetView workbookViewId="0" topLeftCell="A3">
      <selection activeCell="A9" sqref="A9:F44"/>
    </sheetView>
  </sheetViews>
  <sheetFormatPr defaultColWidth="9.140625" defaultRowHeight="12.75"/>
  <cols>
    <col min="2" max="2" width="16.8515625" style="0" customWidth="1"/>
    <col min="9" max="9" width="13.7109375" style="0" customWidth="1"/>
  </cols>
  <sheetData>
    <row r="1" spans="1:11" ht="18">
      <c r="A1" s="2" t="str">
        <f>title1&amp;" - Claim Cost"</f>
        <v>BLOCK CLAIM LIABILITY REPORT - Claim Cost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9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9" t="s">
        <v>236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33" t="s">
        <v>242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3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13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35" t="s">
        <v>75</v>
      </c>
      <c r="E7" s="12"/>
      <c r="F7" s="13"/>
      <c r="G7" s="4"/>
      <c r="H7" s="4"/>
      <c r="I7" s="4"/>
      <c r="J7" s="4"/>
      <c r="K7" s="4"/>
    </row>
    <row r="8" spans="1:11" ht="38.25">
      <c r="A8" s="14" t="s">
        <v>58</v>
      </c>
      <c r="B8" s="14" t="s">
        <v>57</v>
      </c>
      <c r="C8" s="14" t="s">
        <v>137</v>
      </c>
      <c r="D8" s="19" t="s">
        <v>76</v>
      </c>
      <c r="E8" s="19" t="s">
        <v>77</v>
      </c>
      <c r="F8" s="19" t="str">
        <f>"Last "&amp;ANC&amp;" Months"</f>
        <v>Last 12 Months</v>
      </c>
      <c r="G8" s="5"/>
      <c r="H8" s="5"/>
      <c r="I8" s="5"/>
      <c r="J8" s="5"/>
      <c r="K8" s="5"/>
    </row>
    <row r="9" spans="1:11" ht="12.75">
      <c r="A9" s="32">
        <f>ExpDat</f>
        <v>36008</v>
      </c>
      <c r="B9" s="50">
        <f aca="true" t="shared" si="0" ref="B9:B44">IF($A9="","",VLOOKUP($A9,ExpDump,7,FALSE))</f>
        <v>2576.156</v>
      </c>
      <c r="C9" s="66">
        <f aca="true" t="shared" si="1" ref="C9:C44">IF($A9="","",VLOOKUP($A9,LinearIncLag,2,FALSE))</f>
        <v>50333</v>
      </c>
      <c r="D9" s="44">
        <f>IF($A9="","",IF(B9=0,0,VLOOKUP($A9,CalcIncClms,10,FALSE)/B9))</f>
        <v>38.514360155207996</v>
      </c>
      <c r="E9" s="44">
        <f>IF($A9="","",IF(SUM(B$9:B9)=0,0,VLOOKUP($A9,CalcIncClms,12,FALSE)/SUM(B$9:B9)))</f>
        <v>38.514360155207996</v>
      </c>
      <c r="F9" s="58">
        <f ca="1">IF($A9="","",IF(SUM(OFFSET(B10,-MIN(ANC,1+ROUND(DAYS360(ExpDat,$A9,0)/30,0)),0,MIN(ANC,1+ROUND(DAYS360(ExpDat,$A9,0)/30,0)),1))=0,0,SUM(OFFSET(IncurredClaims!J10,-MIN(ANC,1+ROUND(DAYS360(ExpDat,$A9,0)/30,0)),0,MIN(ANC,1+ROUND(DAYS360(ExpDat,$A9,0)/30,0)),1))/SUM(OFFSET(B10,-MIN(ANC,1+ROUND(DAYS360(ExpDat,$A9,0)/30,0)),0,MIN(ANC,1+ROUND(DAYS360(ExpDat,$A9,0)/30,0)),1))))</f>
        <v>38.514360155207996</v>
      </c>
      <c r="G9" s="1"/>
      <c r="H9" s="1"/>
      <c r="I9" s="1"/>
      <c r="J9" s="1"/>
      <c r="K9" s="1"/>
    </row>
    <row r="10" spans="1:11" ht="12.75">
      <c r="A10" s="32">
        <f>IF($A9="","",IF(DATE(YEAR(A9),MONTH(A9)+1,1)&gt;ValDat,"",DATE(YEAR(A9),MONTH(A9)+1,1)))</f>
        <v>36039</v>
      </c>
      <c r="B10" s="50">
        <f t="shared" si="0"/>
        <v>2663.767</v>
      </c>
      <c r="C10" s="66">
        <f t="shared" si="1"/>
        <v>50333</v>
      </c>
      <c r="D10" s="44">
        <f aca="true" t="shared" si="2" ref="D10:D44">IF($A10="","",IF(B10=0,0,VLOOKUP($A10,CalcIncClms,10,FALSE)/B10))</f>
        <v>37.24762713855979</v>
      </c>
      <c r="E10" s="44">
        <f>IF($A10="","",IF(SUM(B$9:B10)=0,0,VLOOKUP($A10,CalcIncClms,12,FALSE)/SUM(B$9:B10)))</f>
        <v>37.870403820819504</v>
      </c>
      <c r="F10" s="58">
        <f ca="1">IF($A10="","",IF(SUM(OFFSET(B11,-MIN(ANC,1+ROUND(DAYS360(ExpDat,$A10,0)/30,0)),0,MIN(ANC,1+ROUND(DAYS360(ExpDat,$A10,0)/30,0)),1))=0,0,SUM(OFFSET(IncurredClaims!J11,-MIN(ANC,1+ROUND(DAYS360(ExpDat,$A10,0)/30,0)),0,MIN(ANC,1+ROUND(DAYS360(ExpDat,$A10,0)/30,0)),1))/SUM(OFFSET(B11,-MIN(ANC,1+ROUND(DAYS360(ExpDat,$A10,0)/30,0)),0,MIN(ANC,1+ROUND(DAYS360(ExpDat,$A10,0)/30,0)),1))))</f>
        <v>37.870403820819504</v>
      </c>
      <c r="G10" s="1"/>
      <c r="H10" s="1"/>
      <c r="I10" s="1"/>
      <c r="J10" s="1"/>
      <c r="K10" s="1"/>
    </row>
    <row r="11" spans="1:11" ht="12.75">
      <c r="A11" s="32">
        <f aca="true" t="shared" si="3" ref="A11:A44">IF($A10="","",IF(DATE(YEAR(A10),MONTH(A10)+1,1)&gt;ValDat,"",DATE(YEAR(A10),MONTH(A10)+1,1)))</f>
        <v>36069</v>
      </c>
      <c r="B11" s="50">
        <f t="shared" si="0"/>
        <v>2728.208</v>
      </c>
      <c r="C11" s="66">
        <f t="shared" si="1"/>
        <v>221584</v>
      </c>
      <c r="D11" s="44">
        <f t="shared" si="2"/>
        <v>107.03509409839718</v>
      </c>
      <c r="E11" s="44">
        <f>IF($A11="","",IF(SUM(B$9:B11)=0,0,VLOOKUP($A11,CalcIncClms,12,FALSE)/SUM(B$9:B11)))</f>
        <v>61.55169888647664</v>
      </c>
      <c r="F11" s="58">
        <f ca="1">IF($A11="","",IF(SUM(OFFSET(B12,-MIN(ANC,1+ROUND(DAYS360(ExpDat,$A11,0)/30,0)),0,MIN(ANC,1+ROUND(DAYS360(ExpDat,$A11,0)/30,0)),1))=0,0,SUM(OFFSET(IncurredClaims!J12,-MIN(ANC,1+ROUND(DAYS360(ExpDat,$A11,0)/30,0)),0,MIN(ANC,1+ROUND(DAYS360(ExpDat,$A11,0)/30,0)),1))/SUM(OFFSET(B12,-MIN(ANC,1+ROUND(DAYS360(ExpDat,$A11,0)/30,0)),0,MIN(ANC,1+ROUND(DAYS360(ExpDat,$A11,0)/30,0)),1))))</f>
        <v>61.55169888647664</v>
      </c>
      <c r="G11" s="1"/>
      <c r="H11" s="1"/>
      <c r="I11" s="1"/>
      <c r="J11" s="1"/>
      <c r="K11" s="1"/>
    </row>
    <row r="12" spans="1:11" ht="12.75">
      <c r="A12" s="32">
        <f t="shared" si="3"/>
        <v>36100</v>
      </c>
      <c r="B12" s="50">
        <f t="shared" si="0"/>
        <v>2780.754</v>
      </c>
      <c r="C12" s="66">
        <f t="shared" si="1"/>
        <v>221584</v>
      </c>
      <c r="D12" s="44">
        <f t="shared" si="2"/>
        <v>105.01252537980706</v>
      </c>
      <c r="E12" s="44">
        <f>IF($A12="","",IF(SUM(B$9:B12)=0,0,VLOOKUP($A12,CalcIncClms,12,FALSE)/SUM(B$9:B12)))</f>
        <v>72.79508525768023</v>
      </c>
      <c r="F12" s="58">
        <f ca="1">IF($A12="","",IF(SUM(OFFSET(B13,-MIN(ANC,1+ROUND(DAYS360(ExpDat,$A12,0)/30,0)),0,MIN(ANC,1+ROUND(DAYS360(ExpDat,$A12,0)/30,0)),1))=0,0,SUM(OFFSET(IncurredClaims!J13,-MIN(ANC,1+ROUND(DAYS360(ExpDat,$A12,0)/30,0)),0,MIN(ANC,1+ROUND(DAYS360(ExpDat,$A12,0)/30,0)),1))/SUM(OFFSET(B13,-MIN(ANC,1+ROUND(DAYS360(ExpDat,$A12,0)/30,0)),0,MIN(ANC,1+ROUND(DAYS360(ExpDat,$A12,0)/30,0)),1))))</f>
        <v>72.79508525768023</v>
      </c>
      <c r="G12" s="1"/>
      <c r="H12" s="1"/>
      <c r="I12" s="1"/>
      <c r="J12" s="1"/>
      <c r="K12" s="1"/>
    </row>
    <row r="13" spans="1:11" ht="12.75">
      <c r="A13" s="32">
        <f t="shared" si="3"/>
        <v>36130</v>
      </c>
      <c r="B13" s="50">
        <f t="shared" si="0"/>
        <v>2826.459</v>
      </c>
      <c r="C13" s="66">
        <f t="shared" si="1"/>
        <v>198556</v>
      </c>
      <c r="D13" s="44">
        <f t="shared" si="2"/>
        <v>38.83410302431417</v>
      </c>
      <c r="E13" s="44">
        <f>IF($A13="","",IF(SUM(B$9:B13)=0,0,VLOOKUP($A13,CalcIncClms,12,FALSE)/SUM(B$9:B13)))</f>
        <v>65.72422768807922</v>
      </c>
      <c r="F13" s="58">
        <f ca="1">IF($A13="","",IF(SUM(OFFSET(B14,-MIN(ANC,1+ROUND(DAYS360(ExpDat,$A13,0)/30,0)),0,MIN(ANC,1+ROUND(DAYS360(ExpDat,$A13,0)/30,0)),1))=0,0,SUM(OFFSET(IncurredClaims!J14,-MIN(ANC,1+ROUND(DAYS360(ExpDat,$A13,0)/30,0)),0,MIN(ANC,1+ROUND(DAYS360(ExpDat,$A13,0)/30,0)),1))/SUM(OFFSET(B14,-MIN(ANC,1+ROUND(DAYS360(ExpDat,$A13,0)/30,0)),0,MIN(ANC,1+ROUND(DAYS360(ExpDat,$A13,0)/30,0)),1))))</f>
        <v>65.72422768807922</v>
      </c>
      <c r="G13" s="1"/>
      <c r="H13" s="1"/>
      <c r="I13" s="1"/>
      <c r="J13" s="1"/>
      <c r="K13" s="1"/>
    </row>
    <row r="14" spans="1:11" ht="12.75">
      <c r="A14" s="32">
        <f t="shared" si="3"/>
        <v>36161</v>
      </c>
      <c r="B14" s="50">
        <f t="shared" si="0"/>
        <v>2835.062</v>
      </c>
      <c r="C14" s="66">
        <f t="shared" si="1"/>
        <v>198556</v>
      </c>
      <c r="D14" s="44">
        <f t="shared" si="2"/>
        <v>38.7162608789508</v>
      </c>
      <c r="E14" s="44">
        <f>IF($A14="","",IF(SUM(B$9:B14)=0,0,VLOOKUP($A14,CalcIncClms,12,FALSE)/SUM(B$9:B14)))</f>
        <v>61.05833091515227</v>
      </c>
      <c r="F14" s="58">
        <f ca="1">IF($A14="","",IF(SUM(OFFSET(B15,-MIN(ANC,1+ROUND(DAYS360(ExpDat,$A14,0)/30,0)),0,MIN(ANC,1+ROUND(DAYS360(ExpDat,$A14,0)/30,0)),1))=0,0,SUM(OFFSET(IncurredClaims!J15,-MIN(ANC,1+ROUND(DAYS360(ExpDat,$A14,0)/30,0)),0,MIN(ANC,1+ROUND(DAYS360(ExpDat,$A14,0)/30,0)),1))/SUM(OFFSET(B15,-MIN(ANC,1+ROUND(DAYS360(ExpDat,$A14,0)/30,0)),0,MIN(ANC,1+ROUND(DAYS360(ExpDat,$A14,0)/30,0)),1))))</f>
        <v>61.05833091515227</v>
      </c>
      <c r="G14" s="1"/>
      <c r="H14" s="1"/>
      <c r="I14" s="1"/>
      <c r="J14" s="1"/>
      <c r="K14" s="1"/>
    </row>
    <row r="15" spans="1:11" ht="12.75">
      <c r="A15" s="32">
        <f t="shared" si="3"/>
        <v>36192</v>
      </c>
      <c r="B15" s="50">
        <f t="shared" si="0"/>
        <v>2816.626</v>
      </c>
      <c r="C15" s="66">
        <f t="shared" si="1"/>
        <v>186494</v>
      </c>
      <c r="D15" s="44">
        <f t="shared" si="2"/>
        <v>58.46747136467532</v>
      </c>
      <c r="E15" s="44">
        <f>IF($A15="","",IF(SUM(B$9:B15)=0,0,VLOOKUP($A15,CalcIncClms,12,FALSE)/SUM(B$9:B15)))</f>
        <v>60.67878807295896</v>
      </c>
      <c r="F15" s="58">
        <f ca="1">IF($A15="","",IF(SUM(OFFSET(B16,-MIN(ANC,1+ROUND(DAYS360(ExpDat,$A15,0)/30,0)),0,MIN(ANC,1+ROUND(DAYS360(ExpDat,$A15,0)/30,0)),1))=0,0,SUM(OFFSET(IncurredClaims!J16,-MIN(ANC,1+ROUND(DAYS360(ExpDat,$A15,0)/30,0)),0,MIN(ANC,1+ROUND(DAYS360(ExpDat,$A15,0)/30,0)),1))/SUM(OFFSET(B16,-MIN(ANC,1+ROUND(DAYS360(ExpDat,$A15,0)/30,0)),0,MIN(ANC,1+ROUND(DAYS360(ExpDat,$A15,0)/30,0)),1))))</f>
        <v>60.67878807295896</v>
      </c>
      <c r="G15" s="1"/>
      <c r="H15" s="1"/>
      <c r="I15" s="1"/>
      <c r="J15" s="1"/>
      <c r="K15" s="1"/>
    </row>
    <row r="16" spans="1:11" ht="12.75">
      <c r="A16" s="32">
        <f t="shared" si="3"/>
        <v>36220</v>
      </c>
      <c r="B16" s="50">
        <f t="shared" si="0"/>
        <v>2829.576</v>
      </c>
      <c r="C16" s="66">
        <f t="shared" si="1"/>
        <v>186494</v>
      </c>
      <c r="D16" s="44">
        <f t="shared" si="2"/>
        <v>58.199885777939876</v>
      </c>
      <c r="E16" s="44">
        <f>IF($A16="","",IF(SUM(B$9:B16)=0,0,VLOOKUP($A16,CalcIncClms,12,FALSE)/SUM(B$9:B16)))</f>
        <v>60.360777142160764</v>
      </c>
      <c r="F16" s="58">
        <f ca="1">IF($A16="","",IF(SUM(OFFSET(B17,-MIN(ANC,1+ROUND(DAYS360(ExpDat,$A16,0)/30,0)),0,MIN(ANC,1+ROUND(DAYS360(ExpDat,$A16,0)/30,0)),1))=0,0,SUM(OFFSET(IncurredClaims!J17,-MIN(ANC,1+ROUND(DAYS360(ExpDat,$A16,0)/30,0)),0,MIN(ANC,1+ROUND(DAYS360(ExpDat,$A16,0)/30,0)),1))/SUM(OFFSET(B17,-MIN(ANC,1+ROUND(DAYS360(ExpDat,$A16,0)/30,0)),0,MIN(ANC,1+ROUND(DAYS360(ExpDat,$A16,0)/30,0)),1))))</f>
        <v>60.360777142160764</v>
      </c>
      <c r="G16" s="1"/>
      <c r="H16" s="1"/>
      <c r="I16" s="1"/>
      <c r="J16" s="1"/>
      <c r="K16" s="1"/>
    </row>
    <row r="17" spans="1:11" ht="12.75">
      <c r="A17" s="32">
        <f t="shared" si="3"/>
        <v>36251</v>
      </c>
      <c r="B17" s="50">
        <f t="shared" si="0"/>
        <v>2910.367</v>
      </c>
      <c r="C17" s="66">
        <f t="shared" si="1"/>
        <v>255986</v>
      </c>
      <c r="D17" s="44">
        <f t="shared" si="2"/>
        <v>59.02107878490926</v>
      </c>
      <c r="E17" s="44">
        <f>IF($A17="","",IF(SUM(B$9:B17)=0,0,VLOOKUP($A17,CalcIncClms,12,FALSE)/SUM(B$9:B17)))</f>
        <v>60.20461029019335</v>
      </c>
      <c r="F17" s="58">
        <f ca="1">IF($A17="","",IF(SUM(OFFSET(B18,-MIN(ANC,1+ROUND(DAYS360(ExpDat,$A17,0)/30,0)),0,MIN(ANC,1+ROUND(DAYS360(ExpDat,$A17,0)/30,0)),1))=0,0,SUM(OFFSET(IncurredClaims!J18,-MIN(ANC,1+ROUND(DAYS360(ExpDat,$A17,0)/30,0)),0,MIN(ANC,1+ROUND(DAYS360(ExpDat,$A17,0)/30,0)),1))/SUM(OFFSET(B18,-MIN(ANC,1+ROUND(DAYS360(ExpDat,$A17,0)/30,0)),0,MIN(ANC,1+ROUND(DAYS360(ExpDat,$A17,0)/30,0)),1))))</f>
        <v>60.20461029019335</v>
      </c>
      <c r="G17" s="1"/>
      <c r="H17" s="1"/>
      <c r="I17" s="1"/>
      <c r="J17" s="1"/>
      <c r="K17" s="1"/>
    </row>
    <row r="18" spans="1:11" ht="12.75">
      <c r="A18" s="32">
        <f t="shared" si="3"/>
        <v>36281</v>
      </c>
      <c r="B18" s="50">
        <f t="shared" si="0"/>
        <v>2874.026</v>
      </c>
      <c r="C18" s="66">
        <f t="shared" si="1"/>
        <v>255986</v>
      </c>
      <c r="D18" s="44">
        <f t="shared" si="2"/>
        <v>59.76737858321393</v>
      </c>
      <c r="E18" s="44">
        <f>IF($A18="","",IF(SUM(B$9:B18)=0,0,VLOOKUP($A18,CalcIncClms,12,FALSE)/SUM(B$9:B18)))</f>
        <v>60.159474869456034</v>
      </c>
      <c r="F18" s="58">
        <f ca="1">IF($A18="","",IF(SUM(OFFSET(B19,-MIN(ANC,1+ROUND(DAYS360(ExpDat,$A18,0)/30,0)),0,MIN(ANC,1+ROUND(DAYS360(ExpDat,$A18,0)/30,0)),1))=0,0,SUM(OFFSET(IncurredClaims!J19,-MIN(ANC,1+ROUND(DAYS360(ExpDat,$A18,0)/30,0)),0,MIN(ANC,1+ROUND(DAYS360(ExpDat,$A18,0)/30,0)),1))/SUM(OFFSET(B19,-MIN(ANC,1+ROUND(DAYS360(ExpDat,$A18,0)/30,0)),0,MIN(ANC,1+ROUND(DAYS360(ExpDat,$A18,0)/30,0)),1))))</f>
        <v>60.159474869456034</v>
      </c>
      <c r="G18" s="1"/>
      <c r="H18" s="1"/>
      <c r="I18" s="1"/>
      <c r="J18" s="1"/>
      <c r="K18" s="1"/>
    </row>
    <row r="19" spans="1:11" ht="12.75">
      <c r="A19" s="32">
        <f t="shared" si="3"/>
        <v>36312</v>
      </c>
      <c r="B19" s="50">
        <f t="shared" si="0"/>
        <v>2840.922</v>
      </c>
      <c r="C19" s="66">
        <f t="shared" si="1"/>
        <v>218545</v>
      </c>
      <c r="D19" s="44">
        <f t="shared" si="2"/>
        <v>103.50336968068817</v>
      </c>
      <c r="E19" s="44">
        <f>IF($A19="","",IF(SUM(B$9:B19)=0,0,VLOOKUP($A19,CalcIncClms,12,FALSE)/SUM(B$9:B19)))</f>
        <v>64.17280298891306</v>
      </c>
      <c r="F19" s="58">
        <f ca="1">IF($A19="","",IF(SUM(OFFSET(B20,-MIN(ANC,1+ROUND(DAYS360(ExpDat,$A19,0)/30,0)),0,MIN(ANC,1+ROUND(DAYS360(ExpDat,$A19,0)/30,0)),1))=0,0,SUM(OFFSET(IncurredClaims!J20,-MIN(ANC,1+ROUND(DAYS360(ExpDat,$A19,0)/30,0)),0,MIN(ANC,1+ROUND(DAYS360(ExpDat,$A19,0)/30,0)),1))/SUM(OFFSET(B20,-MIN(ANC,1+ROUND(DAYS360(ExpDat,$A19,0)/30,0)),0,MIN(ANC,1+ROUND(DAYS360(ExpDat,$A19,0)/30,0)),1))))</f>
        <v>64.17280298891306</v>
      </c>
      <c r="G19" s="1"/>
      <c r="H19" s="1"/>
      <c r="I19" s="1"/>
      <c r="J19" s="1"/>
      <c r="K19" s="1"/>
    </row>
    <row r="20" spans="1:11" ht="12.75">
      <c r="A20" s="32">
        <f t="shared" si="3"/>
        <v>36342</v>
      </c>
      <c r="B20" s="50">
        <f t="shared" si="0"/>
        <v>2830.386</v>
      </c>
      <c r="C20" s="66">
        <f t="shared" si="1"/>
        <v>218545</v>
      </c>
      <c r="D20" s="44">
        <f t="shared" si="2"/>
        <v>103.88865688284213</v>
      </c>
      <c r="E20" s="44">
        <f>IF($A20="","",IF(SUM(B$9:B20)=0,0,VLOOKUP($A20,CalcIncClms,12,FALSE)/SUM(B$9:B20)))</f>
        <v>67.52712861414594</v>
      </c>
      <c r="F20" s="58">
        <f ca="1">IF($A20="","",IF(SUM(OFFSET(B21,-MIN(ANC,1+ROUND(DAYS360(ExpDat,$A20,0)/30,0)),0,MIN(ANC,1+ROUND(DAYS360(ExpDat,$A20,0)/30,0)),1))=0,0,SUM(OFFSET(IncurredClaims!J21,-MIN(ANC,1+ROUND(DAYS360(ExpDat,$A20,0)/30,0)),0,MIN(ANC,1+ROUND(DAYS360(ExpDat,$A20,0)/30,0)),1))/SUM(OFFSET(B21,-MIN(ANC,1+ROUND(DAYS360(ExpDat,$A20,0)/30,0)),0,MIN(ANC,1+ROUND(DAYS360(ExpDat,$A20,0)/30,0)),1))))</f>
        <v>67.52712861414594</v>
      </c>
      <c r="G20" s="1"/>
      <c r="H20" s="1"/>
      <c r="I20" s="1"/>
      <c r="J20" s="1"/>
      <c r="K20" s="1"/>
    </row>
    <row r="21" spans="1:11" ht="12.75">
      <c r="A21" s="32">
        <f t="shared" si="3"/>
        <v>36373</v>
      </c>
      <c r="B21" s="99">
        <f t="shared" si="0"/>
        <v>2957.813</v>
      </c>
      <c r="C21" s="66">
        <f t="shared" si="1"/>
        <v>206958</v>
      </c>
      <c r="D21" s="44">
        <f t="shared" si="2"/>
        <v>37.55342207232167</v>
      </c>
      <c r="E21" s="45">
        <f>IF($A21="","",IF(SUM(B$9:B21)=0,0,VLOOKUP($A21,CalcIncClms,12,FALSE)/SUM(B$9:B21)))</f>
        <v>65.09619024581274</v>
      </c>
      <c r="F21" s="58">
        <f ca="1">IF($A21="","",IF(SUM(OFFSET(B22,-MIN(ANC,1+ROUND(DAYS360(ExpDat,$A21,0)/30,0)),0,MIN(ANC,1+ROUND(DAYS360(ExpDat,$A21,0)/30,0)),1))=0,0,SUM(OFFSET(IncurredClaims!J22,-MIN(ANC,1+ROUND(DAYS360(ExpDat,$A21,0)/30,0)),0,MIN(ANC,1+ROUND(DAYS360(ExpDat,$A21,0)/30,0)),1))/SUM(OFFSET(B22,-MIN(ANC,1+ROUND(DAYS360(ExpDat,$A21,0)/30,0)),0,MIN(ANC,1+ROUND(DAYS360(ExpDat,$A21,0)/30,0)),1))))</f>
        <v>67.11657762328551</v>
      </c>
      <c r="G21" s="43"/>
      <c r="H21" s="43"/>
      <c r="I21" s="43"/>
      <c r="J21" s="43"/>
      <c r="K21" s="43"/>
    </row>
    <row r="22" spans="1:11" ht="12.75">
      <c r="A22" s="32">
        <f t="shared" si="3"/>
        <v>36404</v>
      </c>
      <c r="B22" s="50">
        <f t="shared" si="0"/>
        <v>2973.885</v>
      </c>
      <c r="C22" s="66">
        <f t="shared" si="1"/>
        <v>206958</v>
      </c>
      <c r="D22" s="44">
        <f t="shared" si="2"/>
        <v>37.35046916743586</v>
      </c>
      <c r="E22" s="44">
        <f>IF($A22="","",IF(SUM(B$9:B22)=0,0,VLOOKUP($A22,CalcIncClms,12,FALSE)/SUM(B$9:B22)))</f>
        <v>63.00429872654673</v>
      </c>
      <c r="F22" s="58">
        <f ca="1">IF($A22="","",IF(SUM(OFFSET(B23,-MIN(ANC,1+ROUND(DAYS360(ExpDat,$A22,0)/30,0)),0,MIN(ANC,1+ROUND(DAYS360(ExpDat,$A22,0)/30,0)),1))=0,0,SUM(OFFSET(IncurredClaims!J23,-MIN(ANC,1+ROUND(DAYS360(ExpDat,$A22,0)/30,0)),0,MIN(ANC,1+ROUND(DAYS360(ExpDat,$A22,0)/30,0)),1))/SUM(OFFSET(B23,-MIN(ANC,1+ROUND(DAYS360(ExpDat,$A22,0)/30,0)),0,MIN(ANC,1+ROUND(DAYS360(ExpDat,$A22,0)/30,0)),1))))</f>
        <v>66.85470659000838</v>
      </c>
      <c r="G22" s="1"/>
      <c r="H22" s="1"/>
      <c r="I22" s="1"/>
      <c r="J22" s="1"/>
      <c r="K22" s="1"/>
    </row>
    <row r="23" spans="1:11" ht="12.75">
      <c r="A23" s="32">
        <f t="shared" si="3"/>
        <v>36434</v>
      </c>
      <c r="B23" s="50">
        <f t="shared" si="0"/>
        <v>2943.35</v>
      </c>
      <c r="C23" s="66">
        <f t="shared" si="1"/>
        <v>95546</v>
      </c>
      <c r="D23" s="44">
        <f t="shared" si="2"/>
        <v>58.24519679956512</v>
      </c>
      <c r="E23" s="44">
        <f>IF($A23="","",IF(SUM(B$9:B23)=0,0,VLOOKUP($A23,CalcIncClms,12,FALSE)/SUM(B$9:B23)))</f>
        <v>62.67382984034603</v>
      </c>
      <c r="F23" s="58">
        <f ca="1">IF($A23="","",IF(SUM(OFFSET(B24,-MIN(ANC,1+ROUND(DAYS360(ExpDat,$A23,0)/30,0)),0,MIN(ANC,1+ROUND(DAYS360(ExpDat,$A23,0)/30,0)),1))=0,0,SUM(OFFSET(IncurredClaims!J24,-MIN(ANC,1+ROUND(DAYS360(ExpDat,$A23,0)/30,0)),0,MIN(ANC,1+ROUND(DAYS360(ExpDat,$A23,0)/30,0)),1))/SUM(OFFSET(B24,-MIN(ANC,1+ROUND(DAYS360(ExpDat,$A23,0)/30,0)),0,MIN(ANC,1+ROUND(DAYS360(ExpDat,$A23,0)/30,0)),1))))</f>
        <v>62.93360577021692</v>
      </c>
      <c r="G23" s="1"/>
      <c r="H23" s="1"/>
      <c r="I23" s="1"/>
      <c r="J23" s="1"/>
      <c r="K23" s="1"/>
    </row>
    <row r="24" spans="1:11" ht="12.75">
      <c r="A24" s="32">
        <f t="shared" si="3"/>
        <v>36465</v>
      </c>
      <c r="B24" s="50">
        <f t="shared" si="0"/>
        <v>3014.083</v>
      </c>
      <c r="C24" s="66">
        <f t="shared" si="1"/>
        <v>95546</v>
      </c>
      <c r="D24" s="44">
        <f t="shared" si="2"/>
        <v>56.87832750458431</v>
      </c>
      <c r="E24" s="44">
        <f>IF($A24="","",IF(SUM(B$9:B24)=0,0,VLOOKUP($A24,CalcIncClms,12,FALSE)/SUM(B$9:B24)))</f>
        <v>62.28908157979131</v>
      </c>
      <c r="F24" s="58">
        <f ca="1">IF($A24="","",IF(SUM(OFFSET(B25,-MIN(ANC,1+ROUND(DAYS360(ExpDat,$A24,0)/30,0)),0,MIN(ANC,1+ROUND(DAYS360(ExpDat,$A24,0)/30,0)),1))=0,0,SUM(OFFSET(IncurredClaims!J25,-MIN(ANC,1+ROUND(DAYS360(ExpDat,$A24,0)/30,0)),0,MIN(ANC,1+ROUND(DAYS360(ExpDat,$A24,0)/30,0)),1))/SUM(OFFSET(B25,-MIN(ANC,1+ROUND(DAYS360(ExpDat,$A24,0)/30,0)),0,MIN(ANC,1+ROUND(DAYS360(ExpDat,$A24,0)/30,0)),1))))</f>
        <v>59.03022158106379</v>
      </c>
      <c r="G24" s="1"/>
      <c r="H24" s="1"/>
      <c r="I24" s="1"/>
      <c r="J24" s="1"/>
      <c r="K24" s="1"/>
    </row>
    <row r="25" spans="1:11" ht="12.75">
      <c r="A25" s="32">
        <f t="shared" si="3"/>
        <v>36495</v>
      </c>
      <c r="B25" s="50">
        <f t="shared" si="0"/>
        <v>3018.721</v>
      </c>
      <c r="C25" s="66">
        <f t="shared" si="1"/>
        <v>219368</v>
      </c>
      <c r="D25" s="44">
        <f t="shared" si="2"/>
        <v>36.94876074999975</v>
      </c>
      <c r="E25" s="44">
        <f>IF($A25="","",IF(SUM(B$9:B25)=0,0,VLOOKUP($A25,CalcIncClms,12,FALSE)/SUM(B$9:B25)))</f>
        <v>60.7092570386125</v>
      </c>
      <c r="F25" s="58">
        <f ca="1">IF($A25="","",IF(SUM(OFFSET(B26,-MIN(ANC,1+ROUND(DAYS360(ExpDat,$A25,0)/30,0)),0,MIN(ANC,1+ROUND(DAYS360(ExpDat,$A25,0)/30,0)),1))=0,0,SUM(OFFSET(IncurredClaims!J26,-MIN(ANC,1+ROUND(DAYS360(ExpDat,$A25,0)/30,0)),0,MIN(ANC,1+ROUND(DAYS360(ExpDat,$A25,0)/30,0)),1))/SUM(OFFSET(B26,-MIN(ANC,1+ROUND(DAYS360(ExpDat,$A25,0)/30,0)),0,MIN(ANC,1+ROUND(DAYS360(ExpDat,$A25,0)/30,0)),1))))</f>
        <v>58.75545278369521</v>
      </c>
      <c r="G25" s="1"/>
      <c r="H25" s="1"/>
      <c r="I25" s="1"/>
      <c r="J25" s="1"/>
      <c r="K25" s="1"/>
    </row>
    <row r="26" spans="1:11" ht="12.75">
      <c r="A26" s="32">
        <f t="shared" si="3"/>
        <v>36526</v>
      </c>
      <c r="B26" s="50">
        <f t="shared" si="0"/>
        <v>3003.323</v>
      </c>
      <c r="C26" s="66">
        <f t="shared" si="1"/>
        <v>219368</v>
      </c>
      <c r="D26" s="44">
        <f t="shared" si="2"/>
        <v>37.13819659090947</v>
      </c>
      <c r="E26" s="44">
        <f>IF($A26="","",IF(SUM(B$9:B26)=0,0,VLOOKUP($A26,CalcIncClms,12,FALSE)/SUM(B$9:B26)))</f>
        <v>59.33261931455287</v>
      </c>
      <c r="F26" s="58">
        <f ca="1">IF($A26="","",IF(SUM(OFFSET(B27,-MIN(ANC,1+ROUND(DAYS360(ExpDat,$A26,0)/30,0)),0,MIN(ANC,1+ROUND(DAYS360(ExpDat,$A26,0)/30,0)),1))=0,0,SUM(OFFSET(IncurredClaims!J27,-MIN(ANC,1+ROUND(DAYS360(ExpDat,$A26,0)/30,0)),0,MIN(ANC,1+ROUND(DAYS360(ExpDat,$A26,0)/30,0)),1))/SUM(OFFSET(B27,-MIN(ANC,1+ROUND(DAYS360(ExpDat,$A26,0)/30,0)),0,MIN(ANC,1+ROUND(DAYS360(ExpDat,$A26,0)/30,0)),1))))</f>
        <v>58.52378931095404</v>
      </c>
      <c r="G26" s="1"/>
      <c r="H26" s="1"/>
      <c r="I26" s="1"/>
      <c r="J26" s="1"/>
      <c r="K26" s="1"/>
    </row>
    <row r="27" spans="1:11" ht="12.75">
      <c r="A27" s="32">
        <f t="shared" si="3"/>
        <v>36557</v>
      </c>
      <c r="B27" s="50">
        <f t="shared" si="0"/>
        <v>3006.059</v>
      </c>
      <c r="C27" s="66">
        <f t="shared" si="1"/>
        <v>318121</v>
      </c>
      <c r="D27" s="44">
        <f t="shared" si="2"/>
        <v>70.37885816612382</v>
      </c>
      <c r="E27" s="44">
        <f>IF($A27="","",IF(SUM(B$9:B27)=0,0,VLOOKUP($A27,CalcIncClms,12,FALSE)/SUM(B$9:B27)))</f>
        <v>59.94268590496893</v>
      </c>
      <c r="F27" s="58">
        <f ca="1">IF($A27="","",IF(SUM(OFFSET(B28,-MIN(ANC,1+ROUND(DAYS360(ExpDat,$A27,0)/30,0)),0,MIN(ANC,1+ROUND(DAYS360(ExpDat,$A27,0)/30,0)),1))=0,0,SUM(OFFSET(IncurredClaims!J28,-MIN(ANC,1+ROUND(DAYS360(ExpDat,$A27,0)/30,0)),0,MIN(ANC,1+ROUND(DAYS360(ExpDat,$A27,0)/30,0)),1))/SUM(OFFSET(B28,-MIN(ANC,1+ROUND(DAYS360(ExpDat,$A27,0)/30,0)),0,MIN(ANC,1+ROUND(DAYS360(ExpDat,$A27,0)/30,0)),1))))</f>
        <v>59.54063901862</v>
      </c>
      <c r="G27" s="1"/>
      <c r="H27" s="1"/>
      <c r="I27" s="1"/>
      <c r="J27" s="1"/>
      <c r="K27" s="1"/>
    </row>
    <row r="28" spans="1:11" ht="12.75">
      <c r="A28" s="32">
        <f t="shared" si="3"/>
        <v>36586</v>
      </c>
      <c r="B28" s="50">
        <f t="shared" si="0"/>
        <v>3001.39</v>
      </c>
      <c r="C28" s="66">
        <f t="shared" si="1"/>
        <v>318121</v>
      </c>
      <c r="D28" s="44">
        <f t="shared" si="2"/>
        <v>70.50988494009482</v>
      </c>
      <c r="E28" s="44">
        <f>IF($A28="","",IF(SUM(B$9:B28)=0,0,VLOOKUP($A28,CalcIncClms,12,FALSE)/SUM(B$9:B28)))</f>
        <v>60.494936823686146</v>
      </c>
      <c r="F28" s="58">
        <f ca="1">IF($A28="","",IF(SUM(OFFSET(B29,-MIN(ANC,1+ROUND(DAYS360(ExpDat,$A28,0)/30,0)),0,MIN(ANC,1+ROUND(DAYS360(ExpDat,$A28,0)/30,0)),1))=0,0,SUM(OFFSET(IncurredClaims!J29,-MIN(ANC,1+ROUND(DAYS360(ExpDat,$A28,0)/30,0)),0,MIN(ANC,1+ROUND(DAYS360(ExpDat,$A28,0)/30,0)),1))/SUM(OFFSET(B29,-MIN(ANC,1+ROUND(DAYS360(ExpDat,$A28,0)/30,0)),0,MIN(ANC,1+ROUND(DAYS360(ExpDat,$A28,0)/30,0)),1))))</f>
        <v>60.57858810197371</v>
      </c>
      <c r="G28" s="1"/>
      <c r="H28" s="1"/>
      <c r="I28" s="1"/>
      <c r="J28" s="1"/>
      <c r="K28" s="1"/>
    </row>
    <row r="29" spans="1:11" ht="12.75">
      <c r="A29" s="32">
        <f t="shared" si="3"/>
        <v>36617</v>
      </c>
      <c r="B29" s="50">
        <f t="shared" si="0"/>
        <v>3027.804</v>
      </c>
      <c r="C29" s="66">
        <f t="shared" si="1"/>
        <v>194291</v>
      </c>
      <c r="D29" s="44">
        <f t="shared" si="2"/>
        <v>60.58281105520454</v>
      </c>
      <c r="E29" s="44">
        <f>IF($A29="","",IF(SUM(B$9:B29)=0,0,VLOOKUP($A29,CalcIncClms,12,FALSE)/SUM(B$9:B29)))</f>
        <v>60.49933760945989</v>
      </c>
      <c r="F29" s="58">
        <f ca="1">IF($A29="","",IF(SUM(OFFSET(B30,-MIN(ANC,1+ROUND(DAYS360(ExpDat,$A29,0)/30,0)),0,MIN(ANC,1+ROUND(DAYS360(ExpDat,$A29,0)/30,0)),1))=0,0,SUM(OFFSET(IncurredClaims!J30,-MIN(ANC,1+ROUND(DAYS360(ExpDat,$A29,0)/30,0)),0,MIN(ANC,1+ROUND(DAYS360(ExpDat,$A29,0)/30,0)),1))/SUM(OFFSET(B30,-MIN(ANC,1+ROUND(DAYS360(ExpDat,$A29,0)/30,0)),0,MIN(ANC,1+ROUND(DAYS360(ExpDat,$A29,0)/30,0)),1))))</f>
        <v>60.706665992084126</v>
      </c>
      <c r="G29" s="1"/>
      <c r="H29" s="1"/>
      <c r="I29" s="1"/>
      <c r="J29" s="1"/>
      <c r="K29" s="1"/>
    </row>
    <row r="30" spans="1:11" ht="12.75">
      <c r="A30" s="32">
        <f t="shared" si="3"/>
        <v>36647</v>
      </c>
      <c r="B30" s="50">
        <f t="shared" si="0"/>
        <v>3053.259</v>
      </c>
      <c r="C30" s="66">
        <f t="shared" si="1"/>
        <v>194291</v>
      </c>
      <c r="D30" s="44">
        <f t="shared" si="2"/>
        <v>60.318253397111896</v>
      </c>
      <c r="E30" s="44">
        <f>IF($A30="","",IF(SUM(B$9:B30)=0,0,VLOOKUP($A30,CalcIncClms,12,FALSE)/SUM(B$9:B30)))</f>
        <v>60.490632214637955</v>
      </c>
      <c r="F30" s="58">
        <f ca="1">IF($A30="","",IF(SUM(OFFSET(B31,-MIN(ANC,1+ROUND(DAYS360(ExpDat,$A30,0)/30,0)),0,MIN(ANC,1+ROUND(DAYS360(ExpDat,$A30,0)/30,0)),1))=0,0,SUM(OFFSET(IncurredClaims!J31,-MIN(ANC,1+ROUND(DAYS360(ExpDat,$A30,0)/30,0)),0,MIN(ANC,1+ROUND(DAYS360(ExpDat,$A30,0)/30,0)),1))/SUM(OFFSET(B31,-MIN(ANC,1+ROUND(DAYS360(ExpDat,$A30,0)/30,0)),0,MIN(ANC,1+ROUND(DAYS360(ExpDat,$A30,0)/30,0)),1))))</f>
        <v>60.749098567437095</v>
      </c>
      <c r="G30" s="1"/>
      <c r="H30" s="1"/>
      <c r="I30" s="1"/>
      <c r="J30" s="1"/>
      <c r="K30" s="1"/>
    </row>
    <row r="31" spans="1:11" ht="12.75">
      <c r="A31" s="32">
        <f t="shared" si="3"/>
        <v>36678</v>
      </c>
      <c r="B31" s="50">
        <f t="shared" si="0"/>
        <v>3019.494</v>
      </c>
      <c r="C31" s="66">
        <f t="shared" si="1"/>
        <v>295608</v>
      </c>
      <c r="D31" s="44">
        <f t="shared" si="2"/>
        <v>109.37599621823932</v>
      </c>
      <c r="E31" s="44">
        <f>IF($A31="","",IF(SUM(B$9:B31)=0,0,VLOOKUP($A31,CalcIncClms,12,FALSE)/SUM(B$9:B31)))</f>
        <v>62.709266778461654</v>
      </c>
      <c r="F31" s="58">
        <f ca="1">IF($A31="","",IF(SUM(OFFSET(B32,-MIN(ANC,1+ROUND(DAYS360(ExpDat,$A31,0)/30,0)),0,MIN(ANC,1+ROUND(DAYS360(ExpDat,$A31,0)/30,0)),1))=0,0,SUM(OFFSET(IncurredClaims!J32,-MIN(ANC,1+ROUND(DAYS360(ExpDat,$A31,0)/30,0)),0,MIN(ANC,1+ROUND(DAYS360(ExpDat,$A31,0)/30,0)),1))/SUM(OFFSET(B32,-MIN(ANC,1+ROUND(DAYS360(ExpDat,$A31,0)/30,0)),0,MIN(ANC,1+ROUND(DAYS360(ExpDat,$A31,0)/30,0)),1))))</f>
        <v>61.456696410825614</v>
      </c>
      <c r="G31" s="1"/>
      <c r="H31" s="1"/>
      <c r="I31" s="1"/>
      <c r="J31" s="1"/>
      <c r="K31" s="1"/>
    </row>
    <row r="32" spans="1:11" ht="12.75">
      <c r="A32" s="32">
        <f t="shared" si="3"/>
        <v>36708</v>
      </c>
      <c r="B32" s="50">
        <f t="shared" si="0"/>
        <v>3006.066</v>
      </c>
      <c r="C32" s="66">
        <f t="shared" si="1"/>
        <v>295608</v>
      </c>
      <c r="D32" s="44">
        <f t="shared" si="2"/>
        <v>109.86576333648372</v>
      </c>
      <c r="E32" s="44">
        <f>IF($A32="","",IF(SUM(B$9:B32)=0,0,VLOOKUP($A32,CalcIncClms,12,FALSE)/SUM(B$9:B32)))</f>
        <v>64.74781327241935</v>
      </c>
      <c r="F32" s="58">
        <f ca="1">IF($A32="","",IF(SUM(OFFSET(B33,-MIN(ANC,1+ROUND(DAYS360(ExpDat,$A32,0)/30,0)),0,MIN(ANC,1+ROUND(DAYS360(ExpDat,$A32,0)/30,0)),1))=0,0,SUM(OFFSET(IncurredClaims!J33,-MIN(ANC,1+ROUND(DAYS360(ExpDat,$A32,0)/30,0)),0,MIN(ANC,1+ROUND(DAYS360(ExpDat,$A32,0)/30,0)),1))/SUM(OFFSET(B33,-MIN(ANC,1+ROUND(DAYS360(ExpDat,$A32,0)/30,0)),0,MIN(ANC,1+ROUND(DAYS360(ExpDat,$A32,0)/30,0)),1))))</f>
        <v>62.16236883284666</v>
      </c>
      <c r="G32" s="1"/>
      <c r="H32" s="1"/>
      <c r="I32" s="1"/>
      <c r="J32" s="1"/>
      <c r="K32" s="1"/>
    </row>
    <row r="33" spans="1:11" ht="12.75">
      <c r="A33" s="32">
        <f t="shared" si="3"/>
        <v>36739</v>
      </c>
      <c r="B33" s="50">
        <f t="shared" si="0"/>
        <v>2987.363</v>
      </c>
      <c r="C33" s="66">
        <f t="shared" si="1"/>
        <v>230602</v>
      </c>
      <c r="D33" s="44">
        <f t="shared" si="2"/>
        <v>94.55782940226923</v>
      </c>
      <c r="E33" s="44">
        <f>IF($A33="","",IF(SUM(B$9:B33)=0,0,VLOOKUP($A33,CalcIncClms,12,FALSE)/SUM(B$9:B33)))</f>
        <v>65.97571315074553</v>
      </c>
      <c r="F33" s="58">
        <f ca="1">IF($A33="","",IF(SUM(OFFSET(B34,-MIN(ANC,1+ROUND(DAYS360(ExpDat,$A33,0)/30,0)),0,MIN(ANC,1+ROUND(DAYS360(ExpDat,$A33,0)/30,0)),1))=0,0,SUM(OFFSET(IncurredClaims!J34,-MIN(ANC,1+ROUND(DAYS360(ExpDat,$A33,0)/30,0)),0,MIN(ANC,1+ROUND(DAYS360(ExpDat,$A33,0)/30,0)),1))/SUM(OFFSET(B34,-MIN(ANC,1+ROUND(DAYS360(ExpDat,$A33,0)/30,0)),0,MIN(ANC,1+ROUND(DAYS360(ExpDat,$A33,0)/30,0)),1))))</f>
        <v>66.86536751891998</v>
      </c>
      <c r="G33" s="1"/>
      <c r="H33" s="1"/>
      <c r="I33" s="1"/>
      <c r="J33" s="1"/>
      <c r="K33" s="1"/>
    </row>
    <row r="34" spans="1:11" ht="12.75">
      <c r="A34" s="32">
        <f t="shared" si="3"/>
        <v>36770</v>
      </c>
      <c r="B34" s="50">
        <f t="shared" si="0"/>
        <v>2953.335</v>
      </c>
      <c r="C34" s="66">
        <f t="shared" si="1"/>
        <v>230602</v>
      </c>
      <c r="D34" s="44">
        <f t="shared" si="2"/>
        <v>95.77808131886405</v>
      </c>
      <c r="E34" s="44">
        <f>IF($A34="","",IF(SUM(B$9:B34)=0,0,VLOOKUP($A34,CalcIncClms,12,FALSE)/SUM(B$9:B34)))</f>
        <v>67.14182885068992</v>
      </c>
      <c r="F34" s="58">
        <f ca="1">IF($A34="","",IF(SUM(OFFSET(B35,-MIN(ANC,1+ROUND(DAYS360(ExpDat,$A34,0)/30,0)),0,MIN(ANC,1+ROUND(DAYS360(ExpDat,$A34,0)/30,0)),1))=0,0,SUM(OFFSET(IncurredClaims!J35,-MIN(ANC,1+ROUND(DAYS360(ExpDat,$A34,0)/30,0)),0,MIN(ANC,1+ROUND(DAYS360(ExpDat,$A34,0)/30,0)),1))/SUM(OFFSET(B35,-MIN(ANC,1+ROUND(DAYS360(ExpDat,$A34,0)/30,0)),0,MIN(ANC,1+ROUND(DAYS360(ExpDat,$A34,0)/30,0)),1))))</f>
        <v>71.67087498781093</v>
      </c>
      <c r="G34" s="1"/>
      <c r="H34" s="1"/>
      <c r="I34" s="1"/>
      <c r="J34" s="1"/>
      <c r="K34" s="1"/>
    </row>
    <row r="35" spans="1:11" ht="12.75">
      <c r="A35" s="32">
        <f t="shared" si="3"/>
        <v>36800</v>
      </c>
      <c r="B35" s="50">
        <f t="shared" si="0"/>
        <v>2927.266</v>
      </c>
      <c r="C35" s="66">
        <f t="shared" si="1"/>
        <v>186976</v>
      </c>
      <c r="D35" s="44">
        <f t="shared" si="2"/>
        <v>63.22218667346072</v>
      </c>
      <c r="E35" s="44">
        <f>IF($A35="","",IF(SUM(B$9:B35)=0,0,VLOOKUP($A35,CalcIncClms,12,FALSE)/SUM(B$9:B35)))</f>
        <v>66.99548921443001</v>
      </c>
      <c r="F35" s="58">
        <f ca="1">IF($A35="","",IF(SUM(OFFSET(B36,-MIN(ANC,1+ROUND(DAYS360(ExpDat,$A35,0)/30,0)),0,MIN(ANC,1+ROUND(DAYS360(ExpDat,$A35,0)/30,0)),1))=0,0,SUM(OFFSET(IncurredClaims!J36,-MIN(ANC,1+ROUND(DAYS360(ExpDat,$A35,0)/30,0)),0,MIN(ANC,1+ROUND(DAYS360(ExpDat,$A35,0)/30,0)),1))/SUM(OFFSET(B36,-MIN(ANC,1+ROUND(DAYS360(ExpDat,$A35,0)/30,0)),0,MIN(ANC,1+ROUND(DAYS360(ExpDat,$A35,0)/30,0)),1))))</f>
        <v>72.08135988256188</v>
      </c>
      <c r="G35" s="1"/>
      <c r="H35" s="1"/>
      <c r="I35" s="1"/>
      <c r="J35" s="1"/>
      <c r="K35" s="1"/>
    </row>
    <row r="36" spans="1:11" ht="12.75">
      <c r="A36" s="32">
        <f t="shared" si="3"/>
        <v>36831</v>
      </c>
      <c r="B36" s="50">
        <f t="shared" si="0"/>
        <v>2897.225</v>
      </c>
      <c r="C36" s="66">
        <f t="shared" si="1"/>
        <v>186976</v>
      </c>
      <c r="D36" s="44">
        <f t="shared" si="2"/>
        <v>63.965929836255995</v>
      </c>
      <c r="E36" s="44">
        <f>IF($A36="","",IF(SUM(B$9:B36)=0,0,VLOOKUP($A36,CalcIncClms,12,FALSE)/SUM(B$9:B36)))</f>
        <v>66.88753080331571</v>
      </c>
      <c r="F36" s="58">
        <f ca="1">IF($A36="","",IF(SUM(OFFSET(B37,-MIN(ANC,1+ROUND(DAYS360(ExpDat,$A36,0)/30,0)),0,MIN(ANC,1+ROUND(DAYS360(ExpDat,$A36,0)/30,0)),1))=0,0,SUM(OFFSET(IncurredClaims!J37,-MIN(ANC,1+ROUND(DAYS360(ExpDat,$A36,0)/30,0)),0,MIN(ANC,1+ROUND(DAYS360(ExpDat,$A36,0)/30,0)),1))/SUM(OFFSET(B37,-MIN(ANC,1+ROUND(DAYS360(ExpDat,$A36,0)/30,0)),0,MIN(ANC,1+ROUND(DAYS360(ExpDat,$A36,0)/30,0)),1))))</f>
        <v>72.70281290837823</v>
      </c>
      <c r="G36" s="1"/>
      <c r="H36" s="1"/>
      <c r="I36" s="1"/>
      <c r="J36" s="1"/>
      <c r="K36" s="1"/>
    </row>
    <row r="37" spans="1:11" ht="12.75">
      <c r="A37" s="32">
        <f t="shared" si="3"/>
        <v>36861</v>
      </c>
      <c r="B37" s="50">
        <f t="shared" si="0"/>
        <v>2887.18</v>
      </c>
      <c r="C37" s="66">
        <f t="shared" si="1"/>
        <v>146038</v>
      </c>
      <c r="D37" s="44">
        <f t="shared" si="2"/>
        <v>30.16573995403649</v>
      </c>
      <c r="E37" s="44">
        <f>IF($A37="","",IF(SUM(B$9:B37)=0,0,VLOOKUP($A37,CalcIncClms,12,FALSE)/SUM(B$9:B37)))</f>
        <v>65.62820648268921</v>
      </c>
      <c r="F37" s="58">
        <f ca="1">IF($A37="","",IF(SUM(OFFSET(B38,-MIN(ANC,1+ROUND(DAYS360(ExpDat,$A37,0)/30,0)),0,MIN(ANC,1+ROUND(DAYS360(ExpDat,$A37,0)/30,0)),1))=0,0,SUM(OFFSET(IncurredClaims!J38,-MIN(ANC,1+ROUND(DAYS360(ExpDat,$A37,0)/30,0)),0,MIN(ANC,1+ROUND(DAYS360(ExpDat,$A37,0)/30,0)),1))/SUM(OFFSET(B38,-MIN(ANC,1+ROUND(DAYS360(ExpDat,$A37,0)/30,0)),0,MIN(ANC,1+ROUND(DAYS360(ExpDat,$A37,0)/30,0)),1))))</f>
        <v>72.28680014948152</v>
      </c>
      <c r="G37" s="1"/>
      <c r="H37" s="1"/>
      <c r="I37" s="1"/>
      <c r="J37" s="1"/>
      <c r="K37" s="1"/>
    </row>
    <row r="38" spans="1:11" ht="12.75">
      <c r="A38" s="32">
        <f t="shared" si="3"/>
        <v>36892</v>
      </c>
      <c r="B38" s="50">
        <f t="shared" si="0"/>
        <v>2887.803</v>
      </c>
      <c r="C38" s="66">
        <f t="shared" si="1"/>
        <v>146038</v>
      </c>
      <c r="D38" s="44">
        <f t="shared" si="2"/>
        <v>32.33804633299419</v>
      </c>
      <c r="E38" s="44">
        <f>IF($A38="","",IF(SUM(B$9:B38)=0,0,VLOOKUP($A38,CalcIncClms,12,FALSE)/SUM(B$9:B38)))</f>
        <v>64.52418796315722</v>
      </c>
      <c r="F38" s="58">
        <f ca="1">IF($A38="","",IF(SUM(OFFSET(B39,-MIN(ANC,1+ROUND(DAYS360(ExpDat,$A38,0)/30,0)),0,MIN(ANC,1+ROUND(DAYS360(ExpDat,$A38,0)/30,0)),1))=0,0,SUM(OFFSET(IncurredClaims!J39,-MIN(ANC,1+ROUND(DAYS360(ExpDat,$A38,0)/30,0)),0,MIN(ANC,1+ROUND(DAYS360(ExpDat,$A38,0)/30,0)),1))/SUM(OFFSET(B39,-MIN(ANC,1+ROUND(DAYS360(ExpDat,$A38,0)/30,0)),0,MIN(ANC,1+ROUND(DAYS360(ExpDat,$A38,0)/30,0)),1))))</f>
        <v>72.0118953826837</v>
      </c>
      <c r="G38" s="1"/>
      <c r="H38" s="1"/>
      <c r="I38" s="1"/>
      <c r="J38" s="1"/>
      <c r="K38" s="1"/>
    </row>
    <row r="39" spans="1:11" ht="12.75">
      <c r="A39" s="32">
        <f t="shared" si="3"/>
        <v>36923</v>
      </c>
      <c r="B39" s="50">
        <f t="shared" si="0"/>
        <v>2887.028</v>
      </c>
      <c r="C39" s="66">
        <f t="shared" si="1"/>
        <v>82703</v>
      </c>
      <c r="D39" s="44">
        <f t="shared" si="2"/>
        <v>54.360989196459926</v>
      </c>
      <c r="E39" s="44">
        <f>IF($A39="","",IF(SUM(B$9:B39)=0,0,VLOOKUP($A39,CalcIncClms,12,FALSE)/SUM(B$9:B39)))</f>
        <v>64.19804425184631</v>
      </c>
      <c r="F39" s="58">
        <f ca="1">IF($A39="","",IF(SUM(OFFSET(B40,-MIN(ANC,1+ROUND(DAYS360(ExpDat,$A39,0)/30,0)),0,MIN(ANC,1+ROUND(DAYS360(ExpDat,$A39,0)/30,0)),1))=0,0,SUM(OFFSET(IncurredClaims!J40,-MIN(ANC,1+ROUND(DAYS360(ExpDat,$A39,0)/30,0)),0,MIN(ANC,1+ROUND(DAYS360(ExpDat,$A39,0)/30,0)),1))/SUM(OFFSET(B40,-MIN(ANC,1+ROUND(DAYS360(ExpDat,$A39,0)/30,0)),0,MIN(ANC,1+ROUND(DAYS360(ExpDat,$A39,0)/30,0)),1))))</f>
        <v>70.71600743731452</v>
      </c>
      <c r="G39" s="1"/>
      <c r="H39" s="1"/>
      <c r="I39" s="1"/>
      <c r="J39" s="1"/>
      <c r="K39" s="1"/>
    </row>
    <row r="40" spans="1:11" ht="12.75">
      <c r="A40" s="32">
        <f t="shared" si="3"/>
        <v>36951</v>
      </c>
      <c r="B40" s="50">
        <f t="shared" si="0"/>
        <v>2848.341</v>
      </c>
      <c r="C40" s="66">
        <f t="shared" si="1"/>
        <v>82703</v>
      </c>
      <c r="D40" s="44">
        <f t="shared" si="2"/>
        <v>57.12689140376044</v>
      </c>
      <c r="E40" s="44">
        <f>IF($A40="","",IF(SUM(B$9:B40)=0,0,VLOOKUP($A40,CalcIncClms,12,FALSE)/SUM(B$9:B40)))</f>
        <v>63.98103765228773</v>
      </c>
      <c r="F40" s="58">
        <f ca="1">IF($A40="","",IF(SUM(OFFSET(B41,-MIN(ANC,1+ROUND(DAYS360(ExpDat,$A40,0)/30,0)),0,MIN(ANC,1+ROUND(DAYS360(ExpDat,$A40,0)/30,0)),1))=0,0,SUM(OFFSET(IncurredClaims!J41,-MIN(ANC,1+ROUND(DAYS360(ExpDat,$A40,0)/30,0)),0,MIN(ANC,1+ROUND(DAYS360(ExpDat,$A40,0)/30,0)),1))/SUM(OFFSET(B41,-MIN(ANC,1+ROUND(DAYS360(ExpDat,$A40,0)/30,0)),0,MIN(ANC,1+ROUND(DAYS360(ExpDat,$A40,0)/30,0)),1))))</f>
        <v>69.63953901242677</v>
      </c>
      <c r="G40" s="1"/>
      <c r="H40" s="1"/>
      <c r="I40" s="1"/>
      <c r="J40" s="1"/>
      <c r="K40" s="1"/>
    </row>
    <row r="41" spans="1:11" ht="12.75">
      <c r="A41" s="32">
        <f t="shared" si="3"/>
        <v>36982</v>
      </c>
      <c r="B41" s="50">
        <f t="shared" si="0"/>
        <v>2809.872</v>
      </c>
      <c r="C41" s="66">
        <f t="shared" si="1"/>
        <v>52143</v>
      </c>
      <c r="D41" s="44">
        <f t="shared" si="2"/>
        <v>56.230478412751744</v>
      </c>
      <c r="E41" s="44">
        <f>IF($A41="","",IF(SUM(B$9:B41)=0,0,VLOOKUP($A41,CalcIncClms,12,FALSE)/SUM(B$9:B41)))</f>
        <v>63.75328819398015</v>
      </c>
      <c r="F41" s="58">
        <f ca="1">IF($A41="","",IF(SUM(OFFSET(B42,-MIN(ANC,1+ROUND(DAYS360(ExpDat,$A41,0)/30,0)),0,MIN(ANC,1+ROUND(DAYS360(ExpDat,$A41,0)/30,0)),1))=0,0,SUM(OFFSET(IncurredClaims!J42,-MIN(ANC,1+ROUND(DAYS360(ExpDat,$A41,0)/30,0)),0,MIN(ANC,1+ROUND(DAYS360(ExpDat,$A41,0)/30,0)),1))/SUM(OFFSET(B42,-MIN(ANC,1+ROUND(DAYS360(ExpDat,$A41,0)/30,0)),0,MIN(ANC,1+ROUND(DAYS360(ExpDat,$A41,0)/30,0)),1))))</f>
        <v>69.34788621052454</v>
      </c>
      <c r="G41" s="1"/>
      <c r="H41" s="1"/>
      <c r="I41" s="1"/>
      <c r="J41" s="1"/>
      <c r="K41" s="1"/>
    </row>
    <row r="42" spans="1:11" ht="12.75">
      <c r="A42" s="32">
        <f t="shared" si="3"/>
        <v>37012</v>
      </c>
      <c r="B42" s="50">
        <f t="shared" si="0"/>
        <v>2815.611</v>
      </c>
      <c r="C42" s="66">
        <f t="shared" si="1"/>
        <v>52143</v>
      </c>
      <c r="D42" s="44">
        <f t="shared" si="2"/>
        <v>76.68743233612618</v>
      </c>
      <c r="E42" s="44">
        <f>IF($A42="","",IF(SUM(B$9:B42)=0,0,VLOOKUP($A42,CalcIncClms,12,FALSE)/SUM(B$9:B42)))</f>
        <v>64.12323987879937</v>
      </c>
      <c r="F42" s="58">
        <f ca="1">IF($A42="","",IF(SUM(OFFSET(B43,-MIN(ANC,1+ROUND(DAYS360(ExpDat,$A42,0)/30,0)),0,MIN(ANC,1+ROUND(DAYS360(ExpDat,$A42,0)/30,0)),1))=0,0,SUM(OFFSET(IncurredClaims!J43,-MIN(ANC,1+ROUND(DAYS360(ExpDat,$A42,0)/30,0)),0,MIN(ANC,1+ROUND(DAYS360(ExpDat,$A42,0)/30,0)),1))/SUM(OFFSET(B43,-MIN(ANC,1+ROUND(DAYS360(ExpDat,$A42,0)/30,0)),0,MIN(ANC,1+ROUND(DAYS360(ExpDat,$A42,0)/30,0)),1))))</f>
        <v>70.72892921377097</v>
      </c>
      <c r="G42" s="1"/>
      <c r="H42" s="1"/>
      <c r="I42" s="1"/>
      <c r="J42" s="1"/>
      <c r="K42" s="1"/>
    </row>
    <row r="43" spans="1:11" ht="12.75">
      <c r="A43" s="32">
        <f t="shared" si="3"/>
        <v>37043</v>
      </c>
      <c r="B43" s="50">
        <f t="shared" si="0"/>
        <v>2810.516</v>
      </c>
      <c r="C43" s="66">
        <f t="shared" si="1"/>
        <v>0</v>
      </c>
      <c r="D43" s="44">
        <f t="shared" si="2"/>
        <v>50.856334970865724</v>
      </c>
      <c r="E43" s="44">
        <f>IF($A43="","",IF(SUM(B$9:B43)=0,0,VLOOKUP($A43,CalcIncClms,12,FALSE)/SUM(B$9:B43)))</f>
        <v>63.7549714202422</v>
      </c>
      <c r="F43" s="58">
        <f ca="1">IF($A43="","",IF(SUM(OFFSET(B44,-MIN(ANC,1+ROUND(DAYS360(ExpDat,$A43,0)/30,0)),0,MIN(ANC,1+ROUND(DAYS360(ExpDat,$A43,0)/30,0)),1))=0,0,SUM(OFFSET(IncurredClaims!J44,-MIN(ANC,1+ROUND(DAYS360(ExpDat,$A43,0)/30,0)),0,MIN(ANC,1+ROUND(DAYS360(ExpDat,$A43,0)/30,0)),1))/SUM(OFFSET(B44,-MIN(ANC,1+ROUND(DAYS360(ExpDat,$A43,0)/30,0)),0,MIN(ANC,1+ROUND(DAYS360(ExpDat,$A43,0)/30,0)),1))))</f>
        <v>65.75891973158537</v>
      </c>
      <c r="G43" s="1"/>
      <c r="H43" s="1"/>
      <c r="I43" s="1"/>
      <c r="J43" s="1"/>
      <c r="K43" s="1"/>
    </row>
    <row r="44" spans="1:11" ht="13.5" thickBot="1">
      <c r="A44" s="32">
        <f t="shared" si="3"/>
        <v>37073</v>
      </c>
      <c r="B44" s="100">
        <f t="shared" si="0"/>
        <v>2830.074</v>
      </c>
      <c r="C44" s="66">
        <f t="shared" si="1"/>
        <v>0</v>
      </c>
      <c r="D44" s="44">
        <f t="shared" si="2"/>
        <v>64.58587249395272</v>
      </c>
      <c r="E44" s="44">
        <f>IF($A44="","",IF(SUM(B$9:B44)=0,0,VLOOKUP($A44,CalcIncClms,12,FALSE)/SUM(B$9:B44)))</f>
        <v>63.7775649086922</v>
      </c>
      <c r="F44" s="61">
        <f ca="1">IF($A44="","",IF(SUM(OFFSET(B45,-MIN(ANC,1+ROUND(DAYS360(ExpDat,$A44,0)/30,0)),0,MIN(ANC,1+ROUND(DAYS360(ExpDat,$A44,0)/30,0)),1))=0,0,SUM(OFFSET(IncurredClaims!J45,-MIN(ANC,1+ROUND(DAYS360(ExpDat,$A44,0)/30,0)),0,MIN(ANC,1+ROUND(DAYS360(ExpDat,$A44,0)/30,0)),1))/SUM(OFFSET(B45,-MIN(ANC,1+ROUND(DAYS360(ExpDat,$A44,0)/30,0)),0,MIN(ANC,1+ROUND(DAYS360(ExpDat,$A44,0)/30,0)),1))))</f>
        <v>61.8243064440882</v>
      </c>
      <c r="G44" s="1"/>
      <c r="H44" s="1"/>
      <c r="I44" s="1"/>
      <c r="J44" s="1"/>
      <c r="K44" s="1"/>
    </row>
    <row r="45" spans="1:11" ht="13.5" thickTop="1">
      <c r="A45" s="7"/>
      <c r="B45" s="106">
        <f ca="1">OFFSET(B45,MEP-MNR-1,0,1)</f>
        <v>2830.074</v>
      </c>
      <c r="C45" s="71"/>
      <c r="D45" s="52"/>
      <c r="E45" s="52"/>
      <c r="F45" s="106">
        <f ca="1">OFFSET(F45,MEP-MNR-1,0,1)</f>
        <v>61.8243064440882</v>
      </c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83" t="s">
        <v>158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73" t="s">
        <v>139</v>
      </c>
      <c r="C50" s="74"/>
      <c r="D50" s="74"/>
      <c r="E50" s="74"/>
      <c r="F50" s="74"/>
      <c r="G50" s="74"/>
      <c r="H50" s="75"/>
      <c r="I50" s="76" t="s">
        <v>3</v>
      </c>
      <c r="J50" s="1"/>
      <c r="K50" s="1"/>
    </row>
    <row r="51" spans="1:11" ht="12.75">
      <c r="A51" s="1"/>
      <c r="B51" s="1" t="str">
        <f>"(A) Average monthly claim cost over last "&amp;ANC&amp;" months  …………………………………………………….."</f>
        <v>(A) Average monthly claim cost over last 12 months  ……………………………………………………..</v>
      </c>
      <c r="C51" s="1"/>
      <c r="D51" s="1"/>
      <c r="E51" s="1"/>
      <c r="F51" s="1"/>
      <c r="G51" s="1"/>
      <c r="H51" s="1"/>
      <c r="I51" s="60">
        <f>F45</f>
        <v>61.8243064440882</v>
      </c>
      <c r="J51" s="1"/>
      <c r="K51" s="1"/>
    </row>
    <row r="52" spans="1:11" ht="12.75">
      <c r="A52" s="1"/>
      <c r="B52" s="1" t="str">
        <f>"(B) Average trend during the last "&amp;ANC&amp;" months, weighted by Estimated Incurred Claims  ………………………."</f>
        <v>(B) Average trend during the last 12 months, weighted by Estimated Incurred Claims  ……………………….</v>
      </c>
      <c r="C52" s="1"/>
      <c r="D52" s="1"/>
      <c r="E52" s="1"/>
      <c r="F52" s="1"/>
      <c r="G52" s="1"/>
      <c r="H52" s="1"/>
      <c r="I52" s="59">
        <f ca="1">IF(SUM(OFFSET(IncurredClaims!J45,MEP-MNR-ANC,0,ANC,1))=0,0,SUMPRODUCT(OFFSET(IncurredClaims!J45,MEP-MNR-ANC,0,ANC,1),OFFSET(IncurredClaims!E45,MEP-MNR-ANC,0,ANC,1))/SUM(OFFSET(IncurredClaims!J45,MEP-MNR-ANC,0,ANC,1)))</f>
        <v>1.0295608677723642</v>
      </c>
      <c r="J52" s="1"/>
      <c r="K52" s="1"/>
    </row>
    <row r="53" spans="1:11" ht="12.75">
      <c r="A53" s="1"/>
      <c r="B53" s="1" t="s">
        <v>7</v>
      </c>
      <c r="C53" s="1"/>
      <c r="D53" s="1"/>
      <c r="E53" s="1"/>
      <c r="F53" s="1"/>
      <c r="G53" s="1"/>
      <c r="H53" s="1"/>
      <c r="I53" s="59">
        <f>VLOOKUP((DATE(YEAR(ValDat),MONTH(ValDat),1)),ExpDump,7,FALSE)</f>
        <v>2830.074</v>
      </c>
      <c r="J53" s="215" t="s">
        <v>46</v>
      </c>
      <c r="K53" s="1"/>
    </row>
    <row r="54" spans="1:11" ht="12.75">
      <c r="A54" s="1"/>
      <c r="B54" s="1" t="s">
        <v>4</v>
      </c>
      <c r="C54" s="1"/>
      <c r="D54" s="1"/>
      <c r="E54" s="1"/>
      <c r="F54" s="1"/>
      <c r="G54" s="1"/>
      <c r="H54" s="1"/>
      <c r="I54" s="59">
        <f>VLOOKUP(DATE(YEAR(ValDat),MONTH(ValDat),1),ExpDump,5,FALSE)</f>
        <v>2533.463</v>
      </c>
      <c r="J54" s="214" t="s">
        <v>46</v>
      </c>
      <c r="K54" s="1"/>
    </row>
    <row r="55" spans="1:11" ht="12.75">
      <c r="A55" s="1"/>
      <c r="B55" s="1" t="s">
        <v>210</v>
      </c>
      <c r="C55" s="1"/>
      <c r="D55" s="1"/>
      <c r="E55" s="1"/>
      <c r="F55" s="1"/>
      <c r="G55" s="1"/>
      <c r="H55" s="1"/>
      <c r="I55" s="59">
        <f>VLOOKUP(DATE(YEAR(ValDat),MONTH(ValDat),1),ExpDump,6,FALSE)</f>
        <v>2572.795</v>
      </c>
      <c r="J55" s="1"/>
      <c r="K55" s="1"/>
    </row>
    <row r="56" spans="1:11" ht="12.75">
      <c r="A56" s="1"/>
      <c r="B56" s="1" t="s">
        <v>184</v>
      </c>
      <c r="C56" s="1"/>
      <c r="D56" s="1"/>
      <c r="E56" s="1"/>
      <c r="F56" s="1"/>
      <c r="G56" s="1"/>
      <c r="H56" s="1"/>
      <c r="I56" s="101">
        <f>IF(I55=0,0,I51*I52*I53*I54/I55)</f>
        <v>177385.6381777317</v>
      </c>
      <c r="J56" s="1"/>
      <c r="K56" s="1"/>
    </row>
    <row r="57" spans="1:11" ht="12.75">
      <c r="A57" s="1"/>
      <c r="B57" s="1" t="s">
        <v>5</v>
      </c>
      <c r="C57" s="1"/>
      <c r="D57" s="1"/>
      <c r="E57" s="1"/>
      <c r="F57" s="1"/>
      <c r="G57" s="1"/>
      <c r="H57" s="1"/>
      <c r="I57" s="102">
        <f>Premium</f>
        <v>332970</v>
      </c>
      <c r="J57" s="1"/>
      <c r="K57" s="1"/>
    </row>
    <row r="58" spans="1:11" ht="12.75">
      <c r="A58" s="1"/>
      <c r="B58" s="1" t="s">
        <v>6</v>
      </c>
      <c r="C58" s="1"/>
      <c r="D58" s="1"/>
      <c r="E58" s="1"/>
      <c r="F58" s="1"/>
      <c r="G58" s="1"/>
      <c r="H58" s="1"/>
      <c r="I58" s="103">
        <f>IF(I57=0,0,I56/I57)</f>
        <v>0.532737598515577</v>
      </c>
      <c r="J58" s="1" t="s">
        <v>46</v>
      </c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211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61"/>
  <sheetViews>
    <sheetView zoomScale="85" zoomScaleNormal="85" zoomScaleSheetLayoutView="85" workbookViewId="0" topLeftCell="D1">
      <pane ySplit="8" topLeftCell="BM54" activePane="bottomLeft" state="frozen"/>
      <selection pane="topLeft" activeCell="F34" sqref="F34"/>
      <selection pane="bottomLeft" activeCell="H63" sqref="H63"/>
    </sheetView>
  </sheetViews>
  <sheetFormatPr defaultColWidth="9.140625" defaultRowHeight="12.75"/>
  <cols>
    <col min="1" max="1" width="10.7109375" style="1" customWidth="1"/>
    <col min="2" max="7" width="16.421875" style="1" customWidth="1"/>
    <col min="8" max="8" width="16.421875" style="110" customWidth="1"/>
    <col min="9" max="9" width="24.140625" style="1" customWidth="1"/>
    <col min="10" max="16384" width="9.140625" style="1" customWidth="1"/>
  </cols>
  <sheetData>
    <row r="1" ht="18">
      <c r="A1" s="2" t="str">
        <f>title1&amp;" - Liabilities"</f>
        <v>BLOCK CLAIM LIABILITY REPORT - Liabilities</v>
      </c>
    </row>
    <row r="2" ht="15.75">
      <c r="A2" s="9" t="str">
        <f>title2</f>
        <v>The Millennium-2000 Sample Life Insurance Company</v>
      </c>
    </row>
    <row r="3" ht="15.75">
      <c r="A3" s="9" t="str">
        <f>title3</f>
        <v>Arvind</v>
      </c>
    </row>
    <row r="4" ht="15">
      <c r="A4" s="33" t="str">
        <f>title4</f>
        <v>Experience Period:  01-Aug-1998  to  31-Jul-2001.  Runout Date:  31-Jul-2001</v>
      </c>
    </row>
    <row r="5" spans="1:8" s="4" customFormat="1" ht="12.75">
      <c r="A5" s="135"/>
      <c r="H5" s="142"/>
    </row>
    <row r="6" spans="1:8" s="4" customFormat="1" ht="12.75">
      <c r="A6" s="135"/>
      <c r="H6" s="142"/>
    </row>
    <row r="7" spans="2:8" s="4" customFormat="1" ht="25.5">
      <c r="B7" s="35" t="str">
        <f>"INCURRED BUT NOT "&amp;IF(Basis="ibnp","PAID","REPORTED")&amp;" LIABILITY"</f>
        <v>INCURRED BUT NOT REPORTED LIABILITY</v>
      </c>
      <c r="C7" s="13"/>
      <c r="D7" s="35" t="s">
        <v>144</v>
      </c>
      <c r="E7" s="13"/>
      <c r="F7" s="35" t="s">
        <v>231</v>
      </c>
      <c r="G7" s="13"/>
      <c r="H7" s="142"/>
    </row>
    <row r="8" spans="1:8" s="5" customFormat="1" ht="63.75">
      <c r="A8" s="14" t="s">
        <v>58</v>
      </c>
      <c r="B8" s="19" t="str">
        <f>"Remaining "&amp;UPPER(Basis)&amp;" as of Runout Date"</f>
        <v>Remaining IBNR as of Runout Date</v>
      </c>
      <c r="C8" s="19" t="str">
        <f>"Restated* "&amp;UPPER(Basis)&amp;" as of the End of Each Incurred Month"</f>
        <v>Restated* IBNR as of the End of Each Incurred Month</v>
      </c>
      <c r="D8" s="77" t="s">
        <v>140</v>
      </c>
      <c r="E8" s="77" t="s">
        <v>142</v>
      </c>
      <c r="F8" s="77" t="s">
        <v>141</v>
      </c>
      <c r="G8" s="77" t="s">
        <v>143</v>
      </c>
      <c r="H8" s="111" t="s">
        <v>157</v>
      </c>
    </row>
    <row r="9" spans="1:8" ht="12.75">
      <c r="A9" s="32">
        <f>ExpDat</f>
        <v>36008</v>
      </c>
      <c r="B9" s="188">
        <f>IF($A9="","",VLOOKUP($A9,CalcIncClms,12,FALSE)-VLOOKUP($A9,LinearIncLag,5,FALSE))</f>
        <v>0</v>
      </c>
      <c r="C9" s="167">
        <f>IF($A9="","",VLOOKUP($A9,CalcIncClms,12,FALSE)-VLOOKUP($A9,LinearRepLag,5,FALSE))</f>
        <v>74072</v>
      </c>
      <c r="D9" s="66">
        <f>IF($A9="","",VLOOKUP($A9,LinearIncLag,5,FALSE)-VLOOKUP($A9,LinearIncLag,3,FALSE))</f>
        <v>48886</v>
      </c>
      <c r="E9" s="66">
        <f>IF($A9="","",VLOOKUP($A9,TriRepLag,5,FALSE)-VLOOKUP($A9,TriPaidLag,5,FALSE))</f>
        <v>-25186</v>
      </c>
      <c r="F9" s="188">
        <f>IF($A9="","",VLOOKUP($A9,CalcIncClms,12,FALSE)-VLOOKUP($A9,LinearIncLag,3,FALSE))</f>
        <v>48886</v>
      </c>
      <c r="G9" s="167">
        <f>IF($A9="","",VLOOKUP($A9,CalcIncClms,12,FALSE)-VLOOKUP($A9,LinearRepLag,5,FALSE)+VLOOKUP($A9,TriRepLag,5,FALSE)-VLOOKUP($A9,TriPaidLag,5,FALSE))</f>
        <v>48886</v>
      </c>
      <c r="H9" s="110">
        <f>IF($A9="","",IF(G9=0,"",E9/G9))</f>
        <v>-0.5151986253733175</v>
      </c>
    </row>
    <row r="10" spans="1:8" ht="12.75">
      <c r="A10" s="32">
        <f>IF($A9="","",IF(DATE(YEAR(A9),MONTH(A9)+1,1)&gt;ValDat,"",DATE(YEAR(A9),MONTH(A9)+1,1)))</f>
        <v>36039</v>
      </c>
      <c r="B10" s="189">
        <f aca="true" t="shared" si="0" ref="B10:B44">IF($A10="","",VLOOKUP($A10,CalcIncClms,12,FALSE)-VLOOKUP($A10,LinearIncLag,5,FALSE))</f>
        <v>0</v>
      </c>
      <c r="C10" s="169">
        <f aca="true" t="shared" si="1" ref="C10:C44">IF($A10="","",VLOOKUP($A10,CalcIncClms,12,FALSE)-VLOOKUP($A10,LinearRepLag,5,FALSE))</f>
        <v>67966</v>
      </c>
      <c r="D10" s="66">
        <f aca="true" t="shared" si="2" ref="D10:D44">IF($A10="","",VLOOKUP($A10,LinearIncLag,5,FALSE)-VLOOKUP($A10,LinearIncLag,3,FALSE))</f>
        <v>97772</v>
      </c>
      <c r="E10" s="67">
        <f aca="true" t="shared" si="3" ref="E10:E44">IF($A10="","",VLOOKUP($A10,TriRepLag,5,FALSE)-VLOOKUP($A10,TriPaidLag,5,FALSE))</f>
        <v>29806</v>
      </c>
      <c r="F10" s="189">
        <f aca="true" t="shared" si="4" ref="F10:F44">IF($A10="","",VLOOKUP($A10,CalcIncClms,12,FALSE)-VLOOKUP($A10,LinearIncLag,3,FALSE))</f>
        <v>97772</v>
      </c>
      <c r="G10" s="169">
        <f aca="true" t="shared" si="5" ref="G10:G44">IF($A10="","",VLOOKUP($A10,CalcIncClms,12,FALSE)-VLOOKUP($A10,LinearRepLag,5,FALSE)+VLOOKUP($A10,TriRepLag,5,FALSE)-VLOOKUP($A10,TriPaidLag,5,FALSE))</f>
        <v>97772</v>
      </c>
      <c r="H10" s="110">
        <f aca="true" t="shared" si="6" ref="H10:H44">IF($A10="","",IF(G10=0,"",E10/G10))</f>
        <v>0.30485210489710757</v>
      </c>
    </row>
    <row r="11" spans="1:8" ht="12.75">
      <c r="A11" s="32">
        <f aca="true" t="shared" si="7" ref="A11:A44">IF($A10="","",IF(DATE(YEAR(A10),MONTH(A10)+1,1)&gt;ValDat,"",DATE(YEAR(A10),MONTH(A10)+1,1)))</f>
        <v>36069</v>
      </c>
      <c r="B11" s="189">
        <f t="shared" si="0"/>
        <v>0</v>
      </c>
      <c r="C11" s="169">
        <f t="shared" si="1"/>
        <v>261828</v>
      </c>
      <c r="D11" s="66">
        <f t="shared" si="2"/>
        <v>168202</v>
      </c>
      <c r="E11" s="67">
        <f t="shared" si="3"/>
        <v>107621</v>
      </c>
      <c r="F11" s="189">
        <f t="shared" si="4"/>
        <v>168202</v>
      </c>
      <c r="G11" s="169">
        <f t="shared" si="5"/>
        <v>369449</v>
      </c>
      <c r="H11" s="110">
        <f t="shared" si="6"/>
        <v>0.2913013704191918</v>
      </c>
    </row>
    <row r="12" spans="1:8" ht="12.75">
      <c r="A12" s="32">
        <f t="shared" si="7"/>
        <v>36100</v>
      </c>
      <c r="B12" s="189">
        <f t="shared" si="0"/>
        <v>0</v>
      </c>
      <c r="C12" s="169">
        <f t="shared" si="1"/>
        <v>346069</v>
      </c>
      <c r="D12" s="66">
        <f t="shared" si="2"/>
        <v>238632</v>
      </c>
      <c r="E12" s="67">
        <f t="shared" si="3"/>
        <v>98488</v>
      </c>
      <c r="F12" s="189">
        <f t="shared" si="4"/>
        <v>238632</v>
      </c>
      <c r="G12" s="169">
        <f t="shared" si="5"/>
        <v>444557</v>
      </c>
      <c r="H12" s="110">
        <f t="shared" si="6"/>
        <v>0.22154189451521403</v>
      </c>
    </row>
    <row r="13" spans="1:8" ht="12.75">
      <c r="A13" s="32">
        <f t="shared" si="7"/>
        <v>36130</v>
      </c>
      <c r="B13" s="189">
        <f t="shared" si="0"/>
        <v>0</v>
      </c>
      <c r="C13" s="169">
        <f t="shared" si="1"/>
        <v>254956</v>
      </c>
      <c r="D13" s="66">
        <f t="shared" si="2"/>
        <v>149839</v>
      </c>
      <c r="E13" s="67">
        <f t="shared" si="3"/>
        <v>99547</v>
      </c>
      <c r="F13" s="189">
        <f t="shared" si="4"/>
        <v>149839</v>
      </c>
      <c r="G13" s="169">
        <f t="shared" si="5"/>
        <v>354503</v>
      </c>
      <c r="H13" s="110">
        <f t="shared" si="6"/>
        <v>0.28080721460749275</v>
      </c>
    </row>
    <row r="14" spans="1:8" ht="12.75">
      <c r="A14" s="32">
        <f t="shared" si="7"/>
        <v>36161</v>
      </c>
      <c r="B14" s="189">
        <f t="shared" si="0"/>
        <v>0</v>
      </c>
      <c r="C14" s="169">
        <f t="shared" si="1"/>
        <v>176528</v>
      </c>
      <c r="D14" s="66">
        <f t="shared" si="2"/>
        <v>61046</v>
      </c>
      <c r="E14" s="67">
        <f t="shared" si="3"/>
        <v>101931</v>
      </c>
      <c r="F14" s="189">
        <f t="shared" si="4"/>
        <v>61046</v>
      </c>
      <c r="G14" s="169">
        <f t="shared" si="5"/>
        <v>278459</v>
      </c>
      <c r="H14" s="110">
        <f t="shared" si="6"/>
        <v>0.3660538894415336</v>
      </c>
    </row>
    <row r="15" spans="1:8" ht="12.75">
      <c r="A15" s="32">
        <f t="shared" si="7"/>
        <v>36192</v>
      </c>
      <c r="B15" s="189">
        <f t="shared" si="0"/>
        <v>0</v>
      </c>
      <c r="C15" s="169">
        <f t="shared" si="1"/>
        <v>220663</v>
      </c>
      <c r="D15" s="66">
        <f t="shared" si="2"/>
        <v>39233</v>
      </c>
      <c r="E15" s="67">
        <f t="shared" si="3"/>
        <v>78473</v>
      </c>
      <c r="F15" s="189">
        <f t="shared" si="4"/>
        <v>39233</v>
      </c>
      <c r="G15" s="169">
        <f t="shared" si="5"/>
        <v>299136</v>
      </c>
      <c r="H15" s="110">
        <f t="shared" si="6"/>
        <v>0.2623321833547283</v>
      </c>
    </row>
    <row r="16" spans="1:8" ht="12.75">
      <c r="A16" s="32">
        <f t="shared" si="7"/>
        <v>36220</v>
      </c>
      <c r="B16" s="189">
        <f t="shared" si="0"/>
        <v>0</v>
      </c>
      <c r="C16" s="169">
        <f t="shared" si="1"/>
        <v>196757</v>
      </c>
      <c r="D16" s="66">
        <f t="shared" si="2"/>
        <v>17420</v>
      </c>
      <c r="E16" s="67">
        <f t="shared" si="3"/>
        <v>104112</v>
      </c>
      <c r="F16" s="189">
        <f t="shared" si="4"/>
        <v>17420</v>
      </c>
      <c r="G16" s="169">
        <f t="shared" si="5"/>
        <v>300869</v>
      </c>
      <c r="H16" s="110">
        <f t="shared" si="6"/>
        <v>0.3460376442903722</v>
      </c>
    </row>
    <row r="17" spans="1:8" ht="12.75">
      <c r="A17" s="32">
        <f t="shared" si="7"/>
        <v>36251</v>
      </c>
      <c r="B17" s="189">
        <f t="shared" si="0"/>
        <v>0</v>
      </c>
      <c r="C17" s="169">
        <f t="shared" si="1"/>
        <v>227752</v>
      </c>
      <c r="D17" s="66">
        <f t="shared" si="2"/>
        <v>-66793</v>
      </c>
      <c r="E17" s="67">
        <f t="shared" si="3"/>
        <v>1475</v>
      </c>
      <c r="F17" s="189">
        <f t="shared" si="4"/>
        <v>-66793</v>
      </c>
      <c r="G17" s="169">
        <f t="shared" si="5"/>
        <v>229227</v>
      </c>
      <c r="H17" s="110">
        <f t="shared" si="6"/>
        <v>0.006434669563358592</v>
      </c>
    </row>
    <row r="18" spans="1:8" ht="12.75">
      <c r="A18" s="32">
        <f t="shared" si="7"/>
        <v>36281</v>
      </c>
      <c r="B18" s="189">
        <f t="shared" si="0"/>
        <v>0</v>
      </c>
      <c r="C18" s="169">
        <f t="shared" si="1"/>
        <v>265396</v>
      </c>
      <c r="D18" s="66">
        <f t="shared" si="2"/>
        <v>-151006</v>
      </c>
      <c r="E18" s="67">
        <f t="shared" si="3"/>
        <v>-33877</v>
      </c>
      <c r="F18" s="189">
        <f t="shared" si="4"/>
        <v>-151006</v>
      </c>
      <c r="G18" s="169">
        <f t="shared" si="5"/>
        <v>231519</v>
      </c>
      <c r="H18" s="110">
        <f t="shared" si="6"/>
        <v>-0.14632492365637378</v>
      </c>
    </row>
    <row r="19" spans="1:8" ht="12.75">
      <c r="A19" s="32">
        <f t="shared" si="7"/>
        <v>36312</v>
      </c>
      <c r="B19" s="189">
        <f t="shared" si="0"/>
        <v>0</v>
      </c>
      <c r="C19" s="169">
        <f t="shared" si="1"/>
        <v>424321</v>
      </c>
      <c r="D19" s="66">
        <f t="shared" si="2"/>
        <v>-75506</v>
      </c>
      <c r="E19" s="67">
        <f t="shared" si="3"/>
        <v>-92066</v>
      </c>
      <c r="F19" s="189">
        <f t="shared" si="4"/>
        <v>-75506</v>
      </c>
      <c r="G19" s="169">
        <f t="shared" si="5"/>
        <v>332255</v>
      </c>
      <c r="H19" s="110">
        <f t="shared" si="6"/>
        <v>-0.2770944003852463</v>
      </c>
    </row>
    <row r="20" spans="1:8" ht="12.75">
      <c r="A20" s="32">
        <f t="shared" si="7"/>
        <v>36342</v>
      </c>
      <c r="B20" s="189">
        <f t="shared" si="0"/>
        <v>0</v>
      </c>
      <c r="C20" s="169">
        <f t="shared" si="1"/>
        <v>400428</v>
      </c>
      <c r="D20" s="66">
        <f t="shared" si="2"/>
        <v>-6</v>
      </c>
      <c r="E20" s="67">
        <f t="shared" si="3"/>
        <v>-99342</v>
      </c>
      <c r="F20" s="189">
        <f t="shared" si="4"/>
        <v>-6</v>
      </c>
      <c r="G20" s="169">
        <f t="shared" si="5"/>
        <v>301086</v>
      </c>
      <c r="H20" s="110">
        <f t="shared" si="6"/>
        <v>-0.32994559693908054</v>
      </c>
    </row>
    <row r="21" spans="1:8" s="43" customFormat="1" ht="12.75">
      <c r="A21" s="32">
        <f t="shared" si="7"/>
        <v>36373</v>
      </c>
      <c r="B21" s="189">
        <f t="shared" si="0"/>
        <v>0</v>
      </c>
      <c r="C21" s="169">
        <f t="shared" si="1"/>
        <v>308189</v>
      </c>
      <c r="D21" s="66">
        <f t="shared" si="2"/>
        <v>-95888</v>
      </c>
      <c r="E21" s="67">
        <f t="shared" si="3"/>
        <v>-51304</v>
      </c>
      <c r="F21" s="189">
        <f t="shared" si="4"/>
        <v>-95888</v>
      </c>
      <c r="G21" s="169">
        <f t="shared" si="5"/>
        <v>256885</v>
      </c>
      <c r="H21" s="110">
        <f t="shared" si="6"/>
        <v>-0.1997158261478872</v>
      </c>
    </row>
    <row r="22" spans="1:8" ht="12.75">
      <c r="A22" s="32">
        <f t="shared" si="7"/>
        <v>36404</v>
      </c>
      <c r="B22" s="189">
        <f t="shared" si="0"/>
        <v>0</v>
      </c>
      <c r="C22" s="169">
        <f t="shared" si="1"/>
        <v>299565</v>
      </c>
      <c r="D22" s="66">
        <f t="shared" si="2"/>
        <v>-191770</v>
      </c>
      <c r="E22" s="67">
        <f t="shared" si="3"/>
        <v>-139163</v>
      </c>
      <c r="F22" s="189">
        <f t="shared" si="4"/>
        <v>-191770</v>
      </c>
      <c r="G22" s="169">
        <f t="shared" si="5"/>
        <v>160402</v>
      </c>
      <c r="H22" s="110">
        <f t="shared" si="6"/>
        <v>-0.8675889328063241</v>
      </c>
    </row>
    <row r="23" spans="1:8" ht="12.75">
      <c r="A23" s="32">
        <f t="shared" si="7"/>
        <v>36434</v>
      </c>
      <c r="B23" s="189">
        <f t="shared" si="0"/>
        <v>0</v>
      </c>
      <c r="C23" s="169">
        <f t="shared" si="1"/>
        <v>324696</v>
      </c>
      <c r="D23" s="66">
        <f t="shared" si="2"/>
        <v>-115880</v>
      </c>
      <c r="E23" s="67">
        <f t="shared" si="3"/>
        <v>-153359</v>
      </c>
      <c r="F23" s="189">
        <f t="shared" si="4"/>
        <v>-115880</v>
      </c>
      <c r="G23" s="169">
        <f t="shared" si="5"/>
        <v>171337</v>
      </c>
      <c r="H23" s="110">
        <f t="shared" si="6"/>
        <v>-0.8950722844452745</v>
      </c>
    </row>
    <row r="24" spans="1:8" ht="12.75">
      <c r="A24" s="32">
        <f t="shared" si="7"/>
        <v>36465</v>
      </c>
      <c r="B24" s="189">
        <f t="shared" si="0"/>
        <v>0</v>
      </c>
      <c r="C24" s="169">
        <f t="shared" si="1"/>
        <v>328231</v>
      </c>
      <c r="D24" s="66">
        <f t="shared" si="2"/>
        <v>-39990</v>
      </c>
      <c r="E24" s="67">
        <f t="shared" si="3"/>
        <v>-142719</v>
      </c>
      <c r="F24" s="189">
        <f t="shared" si="4"/>
        <v>-39990</v>
      </c>
      <c r="G24" s="169">
        <f t="shared" si="5"/>
        <v>185512</v>
      </c>
      <c r="H24" s="110">
        <f t="shared" si="6"/>
        <v>-0.7693248954245547</v>
      </c>
    </row>
    <row r="25" spans="1:8" ht="12.75">
      <c r="A25" s="32">
        <f t="shared" si="7"/>
        <v>36495</v>
      </c>
      <c r="B25" s="189">
        <f t="shared" si="0"/>
        <v>0</v>
      </c>
      <c r="C25" s="169">
        <f t="shared" si="1"/>
        <v>240904</v>
      </c>
      <c r="D25" s="66">
        <f t="shared" si="2"/>
        <v>-147820</v>
      </c>
      <c r="E25" s="67">
        <f t="shared" si="3"/>
        <v>-25199</v>
      </c>
      <c r="F25" s="189">
        <f t="shared" si="4"/>
        <v>-147820</v>
      </c>
      <c r="G25" s="169">
        <f t="shared" si="5"/>
        <v>215705</v>
      </c>
      <c r="H25" s="110">
        <f t="shared" si="6"/>
        <v>-0.1168215850351174</v>
      </c>
    </row>
    <row r="26" spans="1:8" ht="12.75">
      <c r="A26" s="32">
        <f t="shared" si="7"/>
        <v>36526</v>
      </c>
      <c r="B26" s="189">
        <f t="shared" si="0"/>
        <v>0</v>
      </c>
      <c r="C26" s="169">
        <f t="shared" si="1"/>
        <v>250986</v>
      </c>
      <c r="D26" s="66">
        <f t="shared" si="2"/>
        <v>-255650</v>
      </c>
      <c r="E26" s="67">
        <f t="shared" si="3"/>
        <v>-90578</v>
      </c>
      <c r="F26" s="189">
        <f t="shared" si="4"/>
        <v>-255650</v>
      </c>
      <c r="G26" s="169">
        <f t="shared" si="5"/>
        <v>160408</v>
      </c>
      <c r="H26" s="110">
        <f t="shared" si="6"/>
        <v>-0.5646725849084834</v>
      </c>
    </row>
    <row r="27" spans="1:8" ht="12.75">
      <c r="A27" s="32">
        <f t="shared" si="7"/>
        <v>36557</v>
      </c>
      <c r="B27" s="189">
        <f t="shared" si="0"/>
        <v>0</v>
      </c>
      <c r="C27" s="169">
        <f t="shared" si="1"/>
        <v>342811</v>
      </c>
      <c r="D27" s="66">
        <f t="shared" si="2"/>
        <v>-362208</v>
      </c>
      <c r="E27" s="67">
        <f t="shared" si="3"/>
        <v>-259825</v>
      </c>
      <c r="F27" s="189">
        <f t="shared" si="4"/>
        <v>-362208</v>
      </c>
      <c r="G27" s="169">
        <f t="shared" si="5"/>
        <v>82986</v>
      </c>
      <c r="H27" s="110">
        <f t="shared" si="6"/>
        <v>-3.130949798761237</v>
      </c>
    </row>
    <row r="28" spans="1:8" ht="12.75">
      <c r="A28" s="32">
        <f t="shared" si="7"/>
        <v>36586</v>
      </c>
      <c r="B28" s="189">
        <f t="shared" si="0"/>
        <v>64.66356035135686</v>
      </c>
      <c r="C28" s="169">
        <f t="shared" si="1"/>
        <v>320583.66356035136</v>
      </c>
      <c r="D28" s="66">
        <f t="shared" si="2"/>
        <v>-468766</v>
      </c>
      <c r="E28" s="67">
        <f t="shared" si="3"/>
        <v>-183784</v>
      </c>
      <c r="F28" s="189">
        <f t="shared" si="4"/>
        <v>-468701.33643964864</v>
      </c>
      <c r="G28" s="169">
        <f t="shared" si="5"/>
        <v>136799.66356035136</v>
      </c>
      <c r="H28" s="110">
        <f t="shared" si="6"/>
        <v>-1.3434535964258476</v>
      </c>
    </row>
    <row r="29" spans="1:8" ht="12.75">
      <c r="A29" s="32">
        <f t="shared" si="7"/>
        <v>36617</v>
      </c>
      <c r="B29" s="189">
        <f t="shared" si="0"/>
        <v>303.54120454378426</v>
      </c>
      <c r="C29" s="169">
        <f t="shared" si="1"/>
        <v>306233.5412045438</v>
      </c>
      <c r="D29" s="66">
        <f t="shared" si="2"/>
        <v>-479863</v>
      </c>
      <c r="E29" s="67">
        <f t="shared" si="3"/>
        <v>-252553</v>
      </c>
      <c r="F29" s="189">
        <f t="shared" si="4"/>
        <v>-479559.4587954562</v>
      </c>
      <c r="G29" s="169">
        <f t="shared" si="5"/>
        <v>53680.541204543784</v>
      </c>
      <c r="H29" s="110">
        <f t="shared" si="6"/>
        <v>-4.7047401969677365</v>
      </c>
    </row>
    <row r="30" spans="1:8" ht="12.75">
      <c r="A30" s="32">
        <f t="shared" si="7"/>
        <v>36647</v>
      </c>
      <c r="B30" s="189">
        <f t="shared" si="0"/>
        <v>1276.7912535564974</v>
      </c>
      <c r="C30" s="169">
        <f t="shared" si="1"/>
        <v>277402.7912535565</v>
      </c>
      <c r="D30" s="66">
        <f t="shared" si="2"/>
        <v>-490960</v>
      </c>
      <c r="E30" s="67">
        <f t="shared" si="3"/>
        <v>-328776</v>
      </c>
      <c r="F30" s="189">
        <f t="shared" si="4"/>
        <v>-489683.2087464435</v>
      </c>
      <c r="G30" s="169">
        <f t="shared" si="5"/>
        <v>-51373.2087464435</v>
      </c>
      <c r="H30" s="110">
        <f t="shared" si="6"/>
        <v>6.399755982202702</v>
      </c>
    </row>
    <row r="31" spans="1:8" ht="12.75">
      <c r="A31" s="32">
        <f t="shared" si="7"/>
        <v>36678</v>
      </c>
      <c r="B31" s="189">
        <f t="shared" si="0"/>
        <v>2239.9555785530247</v>
      </c>
      <c r="C31" s="169">
        <f t="shared" si="1"/>
        <v>495003.955578553</v>
      </c>
      <c r="D31" s="66">
        <f t="shared" si="2"/>
        <v>-457271</v>
      </c>
      <c r="E31" s="67">
        <f t="shared" si="3"/>
        <v>-455167</v>
      </c>
      <c r="F31" s="189">
        <f t="shared" si="4"/>
        <v>-455031.044421447</v>
      </c>
      <c r="G31" s="169">
        <f t="shared" si="5"/>
        <v>39836.955578553025</v>
      </c>
      <c r="H31" s="110">
        <f t="shared" si="6"/>
        <v>-11.425747610217677</v>
      </c>
    </row>
    <row r="32" spans="1:8" ht="12.75">
      <c r="A32" s="32">
        <f t="shared" si="7"/>
        <v>36708</v>
      </c>
      <c r="B32" s="189">
        <f t="shared" si="0"/>
        <v>3206.6913084033877</v>
      </c>
      <c r="C32" s="169">
        <f t="shared" si="1"/>
        <v>654725.6913084034</v>
      </c>
      <c r="D32" s="66">
        <f t="shared" si="2"/>
        <v>-423582</v>
      </c>
      <c r="E32" s="67">
        <f t="shared" si="3"/>
        <v>-560864</v>
      </c>
      <c r="F32" s="189">
        <f t="shared" si="4"/>
        <v>-420375.3086915966</v>
      </c>
      <c r="G32" s="169">
        <f t="shared" si="5"/>
        <v>93861.69130840339</v>
      </c>
      <c r="H32" s="110">
        <f t="shared" si="6"/>
        <v>-5.975430361223271</v>
      </c>
    </row>
    <row r="33" spans="1:8" ht="12.75">
      <c r="A33" s="32">
        <f t="shared" si="7"/>
        <v>36739</v>
      </c>
      <c r="B33" s="189">
        <f t="shared" si="0"/>
        <v>4175.252225054428</v>
      </c>
      <c r="C33" s="169">
        <f t="shared" si="1"/>
        <v>693593.2522250544</v>
      </c>
      <c r="D33" s="66">
        <f t="shared" si="2"/>
        <v>-372674</v>
      </c>
      <c r="E33" s="67">
        <f t="shared" si="3"/>
        <v>-621155</v>
      </c>
      <c r="F33" s="189">
        <f t="shared" si="4"/>
        <v>-368498.7477749456</v>
      </c>
      <c r="G33" s="169">
        <f t="shared" si="5"/>
        <v>72438.25222505443</v>
      </c>
      <c r="H33" s="110">
        <f t="shared" si="6"/>
        <v>-8.574958408302946</v>
      </c>
    </row>
    <row r="34" spans="1:8" ht="12.75">
      <c r="A34" s="32">
        <f t="shared" si="7"/>
        <v>36770</v>
      </c>
      <c r="B34" s="189">
        <f t="shared" si="0"/>
        <v>5530.012016901746</v>
      </c>
      <c r="C34" s="169">
        <f t="shared" si="1"/>
        <v>681309.0120169017</v>
      </c>
      <c r="D34" s="66">
        <f t="shared" si="2"/>
        <v>-321766</v>
      </c>
      <c r="E34" s="67">
        <f t="shared" si="3"/>
        <v>-501181</v>
      </c>
      <c r="F34" s="189">
        <f t="shared" si="4"/>
        <v>-316235.98798309825</v>
      </c>
      <c r="G34" s="169">
        <f t="shared" si="5"/>
        <v>180128.01201690175</v>
      </c>
      <c r="H34" s="110">
        <f t="shared" si="6"/>
        <v>-2.7823601359291814</v>
      </c>
    </row>
    <row r="35" spans="1:8" ht="12.75">
      <c r="A35" s="32">
        <f t="shared" si="7"/>
        <v>36800</v>
      </c>
      <c r="B35" s="189">
        <f t="shared" si="0"/>
        <v>7289.1695117764175</v>
      </c>
      <c r="C35" s="169">
        <f t="shared" si="1"/>
        <v>521389.1695117764</v>
      </c>
      <c r="D35" s="66">
        <f t="shared" si="2"/>
        <v>-325433</v>
      </c>
      <c r="E35" s="67">
        <f t="shared" si="3"/>
        <v>-496821</v>
      </c>
      <c r="F35" s="189">
        <f t="shared" si="4"/>
        <v>-318143.8304882236</v>
      </c>
      <c r="G35" s="169">
        <f t="shared" si="5"/>
        <v>24568.169511776417</v>
      </c>
      <c r="H35" s="110">
        <f t="shared" si="6"/>
        <v>-20.222141489289857</v>
      </c>
    </row>
    <row r="36" spans="1:8" ht="12.75">
      <c r="A36" s="32">
        <f t="shared" si="7"/>
        <v>36831</v>
      </c>
      <c r="B36" s="189">
        <f t="shared" si="0"/>
        <v>9303.86058162339</v>
      </c>
      <c r="C36" s="169">
        <f t="shared" si="1"/>
        <v>504367.8605816234</v>
      </c>
      <c r="D36" s="66">
        <f t="shared" si="2"/>
        <v>-329100</v>
      </c>
      <c r="E36" s="67">
        <f t="shared" si="3"/>
        <v>-406321</v>
      </c>
      <c r="F36" s="189">
        <f t="shared" si="4"/>
        <v>-319796.1394183766</v>
      </c>
      <c r="G36" s="169">
        <f t="shared" si="5"/>
        <v>98046.86058162339</v>
      </c>
      <c r="H36" s="110">
        <f t="shared" si="6"/>
        <v>-4.144151047669093</v>
      </c>
    </row>
    <row r="37" spans="1:8" ht="12.75">
      <c r="A37" s="32">
        <f t="shared" si="7"/>
        <v>36861</v>
      </c>
      <c r="B37" s="189">
        <f t="shared" si="0"/>
        <v>12702.781662118621</v>
      </c>
      <c r="C37" s="169">
        <f t="shared" si="1"/>
        <v>374978.7816621186</v>
      </c>
      <c r="D37" s="66">
        <f t="shared" si="2"/>
        <v>-391443</v>
      </c>
      <c r="E37" s="67">
        <f t="shared" si="3"/>
        <v>-368407</v>
      </c>
      <c r="F37" s="189">
        <f t="shared" si="4"/>
        <v>-378740.2183378814</v>
      </c>
      <c r="G37" s="169">
        <f t="shared" si="5"/>
        <v>6571.781662118621</v>
      </c>
      <c r="H37" s="110">
        <f t="shared" si="6"/>
        <v>-56.05892266987342</v>
      </c>
    </row>
    <row r="38" spans="1:8" ht="12.75">
      <c r="A38" s="32">
        <f t="shared" si="7"/>
        <v>36892</v>
      </c>
      <c r="B38" s="189">
        <f t="shared" si="0"/>
        <v>22393.688876678236</v>
      </c>
      <c r="C38" s="169">
        <f t="shared" si="1"/>
        <v>301566.68887667824</v>
      </c>
      <c r="D38" s="66">
        <f t="shared" si="2"/>
        <v>-453786</v>
      </c>
      <c r="E38" s="67">
        <f t="shared" si="3"/>
        <v>-411349</v>
      </c>
      <c r="F38" s="189">
        <f t="shared" si="4"/>
        <v>-431392.31112332176</v>
      </c>
      <c r="G38" s="169">
        <f t="shared" si="5"/>
        <v>-109782.31112332176</v>
      </c>
      <c r="H38" s="110">
        <f t="shared" si="6"/>
        <v>3.746951542474992</v>
      </c>
    </row>
    <row r="39" spans="1:8" ht="12.75">
      <c r="A39" s="32">
        <f t="shared" si="7"/>
        <v>36923</v>
      </c>
      <c r="B39" s="189">
        <f t="shared" si="0"/>
        <v>38914.38679455593</v>
      </c>
      <c r="C39" s="169">
        <f t="shared" si="1"/>
        <v>321787.38679455593</v>
      </c>
      <c r="D39" s="66">
        <f t="shared" si="2"/>
        <v>-396068</v>
      </c>
      <c r="E39" s="67">
        <f t="shared" si="3"/>
        <v>-433759</v>
      </c>
      <c r="F39" s="189">
        <f t="shared" si="4"/>
        <v>-357153.61320544407</v>
      </c>
      <c r="G39" s="169">
        <f t="shared" si="5"/>
        <v>-111971.61320544407</v>
      </c>
      <c r="H39" s="110">
        <f t="shared" si="6"/>
        <v>3.873830050158736</v>
      </c>
    </row>
    <row r="40" spans="1:8" ht="12.75">
      <c r="A40" s="32">
        <f t="shared" si="7"/>
        <v>36951</v>
      </c>
      <c r="B40" s="189">
        <f t="shared" si="0"/>
        <v>61210.25378243439</v>
      </c>
      <c r="C40" s="169">
        <f t="shared" si="1"/>
        <v>406085.2537824344</v>
      </c>
      <c r="D40" s="66">
        <f t="shared" si="2"/>
        <v>-338350</v>
      </c>
      <c r="E40" s="67">
        <f t="shared" si="3"/>
        <v>-458577</v>
      </c>
      <c r="F40" s="189">
        <f t="shared" si="4"/>
        <v>-277139.7462175656</v>
      </c>
      <c r="G40" s="169">
        <f t="shared" si="5"/>
        <v>-52491.74621756561</v>
      </c>
      <c r="H40" s="110">
        <f t="shared" si="6"/>
        <v>8.736173456667055</v>
      </c>
    </row>
    <row r="41" spans="1:8" ht="12.75">
      <c r="A41" s="32">
        <f t="shared" si="7"/>
        <v>36982</v>
      </c>
      <c r="B41" s="189">
        <f t="shared" si="0"/>
        <v>97031.7006210303</v>
      </c>
      <c r="C41" s="169">
        <f t="shared" si="1"/>
        <v>449815.7006210303</v>
      </c>
      <c r="D41" s="66">
        <f t="shared" si="2"/>
        <v>-268314</v>
      </c>
      <c r="E41" s="67">
        <f t="shared" si="3"/>
        <v>-448975</v>
      </c>
      <c r="F41" s="189">
        <f t="shared" si="4"/>
        <v>-171282.2993789697</v>
      </c>
      <c r="G41" s="169">
        <f t="shared" si="5"/>
        <v>840.7006210302934</v>
      </c>
      <c r="H41" s="110">
        <f t="shared" si="6"/>
        <v>-534.0486122750489</v>
      </c>
    </row>
    <row r="42" spans="1:8" ht="12.75">
      <c r="A42" s="32">
        <f t="shared" si="7"/>
        <v>37012</v>
      </c>
      <c r="B42" s="189">
        <f t="shared" si="0"/>
        <v>190774.67866838258</v>
      </c>
      <c r="C42" s="169">
        <f t="shared" si="1"/>
        <v>524486.6786683826</v>
      </c>
      <c r="D42" s="66">
        <f t="shared" si="2"/>
        <v>-198278</v>
      </c>
      <c r="E42" s="67">
        <f t="shared" si="3"/>
        <v>-383443</v>
      </c>
      <c r="F42" s="189">
        <f t="shared" si="4"/>
        <v>-7503.321331617422</v>
      </c>
      <c r="G42" s="169">
        <f t="shared" si="5"/>
        <v>141043.67866838258</v>
      </c>
      <c r="H42" s="110">
        <f t="shared" si="6"/>
        <v>-2.7186117351741728</v>
      </c>
    </row>
    <row r="43" spans="1:8" ht="12.75">
      <c r="A43" s="32">
        <f t="shared" si="7"/>
        <v>37043</v>
      </c>
      <c r="B43" s="189">
        <f t="shared" si="0"/>
        <v>333707.22180536017</v>
      </c>
      <c r="C43" s="169">
        <f t="shared" si="1"/>
        <v>492342.22180536017</v>
      </c>
      <c r="D43" s="66">
        <f t="shared" si="2"/>
        <v>-198278</v>
      </c>
      <c r="E43" s="67">
        <f t="shared" si="3"/>
        <v>-257227</v>
      </c>
      <c r="F43" s="189">
        <f t="shared" si="4"/>
        <v>135429.22180536017</v>
      </c>
      <c r="G43" s="169">
        <f t="shared" si="5"/>
        <v>235115.22180536017</v>
      </c>
      <c r="H43" s="110">
        <f t="shared" si="6"/>
        <v>-1.0940465616171167</v>
      </c>
    </row>
    <row r="44" spans="1:8" ht="13.5" thickBot="1">
      <c r="A44" s="32">
        <f t="shared" si="7"/>
        <v>37073</v>
      </c>
      <c r="B44" s="190">
        <f t="shared" si="0"/>
        <v>516490.0203178106</v>
      </c>
      <c r="C44" s="169">
        <f t="shared" si="1"/>
        <v>617033.0203178106</v>
      </c>
      <c r="D44" s="97">
        <f t="shared" si="2"/>
        <v>-198278</v>
      </c>
      <c r="E44" s="67">
        <f t="shared" si="3"/>
        <v>-232483</v>
      </c>
      <c r="F44" s="190">
        <f t="shared" si="4"/>
        <v>318212.0203178106</v>
      </c>
      <c r="G44" s="169">
        <f t="shared" si="5"/>
        <v>384550.0203178106</v>
      </c>
      <c r="H44" s="110">
        <f t="shared" si="6"/>
        <v>-0.6045585430157172</v>
      </c>
    </row>
    <row r="45" spans="1:8" ht="13.5" thickTop="1">
      <c r="A45" s="7"/>
      <c r="B45" s="191">
        <f ca="1">OFFSET(B45,MEP-MNR-1,0,1)</f>
        <v>516490.0203178106</v>
      </c>
      <c r="C45" s="192"/>
      <c r="D45" s="105">
        <f ca="1">OFFSET(D45,MEP-MNR-1,0,1)</f>
        <v>-198278</v>
      </c>
      <c r="E45" s="68"/>
      <c r="F45" s="191">
        <f ca="1">OFFSET(F45,MEP-MNR-1,0,1)</f>
        <v>318212.0203178106</v>
      </c>
      <c r="G45" s="193">
        <f ca="1">OFFSET(G45,MEP-MNR-1,0,1)</f>
        <v>384550.0203178106</v>
      </c>
      <c r="H45" s="112"/>
    </row>
    <row r="46" ht="12.75"/>
    <row r="47" ht="12.75">
      <c r="G47" s="67"/>
    </row>
    <row r="48" spans="1:5" ht="12.75">
      <c r="A48" s="83" t="s">
        <v>158</v>
      </c>
      <c r="E48" s="66"/>
    </row>
    <row r="49" spans="2:6" ht="12.75">
      <c r="B49" s="73" t="s">
        <v>139</v>
      </c>
      <c r="C49" s="74"/>
      <c r="D49" s="74"/>
      <c r="E49" s="75"/>
      <c r="F49" s="76" t="s">
        <v>3</v>
      </c>
    </row>
    <row r="50" spans="2:6" ht="12.75">
      <c r="B50" s="1" t="s">
        <v>185</v>
      </c>
      <c r="F50" s="78">
        <f>TotalIncurredClaims</f>
        <v>6637916.020317811</v>
      </c>
    </row>
    <row r="51" spans="2:10" ht="12.75">
      <c r="B51" s="1" t="s">
        <v>186</v>
      </c>
      <c r="F51" s="78">
        <f>TotalIncRepClms</f>
        <v>6121426</v>
      </c>
      <c r="G51" s="120"/>
      <c r="H51" s="186"/>
      <c r="I51" s="120"/>
      <c r="J51" s="120"/>
    </row>
    <row r="52" spans="2:10" ht="12.75">
      <c r="B52" s="1" t="s">
        <v>187</v>
      </c>
      <c r="F52" s="78">
        <f>TotalIncPaidClms</f>
        <v>6319704</v>
      </c>
      <c r="G52" s="120"/>
      <c r="H52" s="187"/>
      <c r="I52" s="120"/>
      <c r="J52" s="120"/>
    </row>
    <row r="53" spans="2:10" ht="12.75">
      <c r="B53" s="1" t="str">
        <f>"(D) Incurred But Not "&amp;IF(Basis="ibnp","Paid (IBNP)","Reported (IBNR)")&amp;" Claim Liability = (A - B)  …………………………………………………………………………………………………."</f>
        <v>(D) Incurred But Not Reported (IBNR) Claim Liability = (A - B)  ………………………………………………………………………………………………….</v>
      </c>
      <c r="F53" s="78">
        <f>TotalIncurredClaims-TotalIncRepClms</f>
        <v>516490.0203178106</v>
      </c>
      <c r="G53" s="102"/>
      <c r="H53" s="186"/>
      <c r="I53" s="120"/>
      <c r="J53" s="120"/>
    </row>
    <row r="54" spans="2:10" ht="12.75">
      <c r="B54" s="1" t="str">
        <f>"         Trended "&amp;IF(Basis="ibnp","IBNP","IBNR")&amp;" (for further allocation purposes only)  …………………………………………………………………………………………………."</f>
        <v>         Trended IBNR (for further allocation purposes only)  ………………………………………………………………………………………………….</v>
      </c>
      <c r="F54" s="78">
        <f>SUMPRODUCT(IncurredClaims!J$9:J44,IncurredClaims!E$9:E44)-SUMPRODUCT(IncurredClaims!B$9:B44,IncurredClaims!E$9:E44)</f>
        <v>520362.66145624034</v>
      </c>
      <c r="G54" s="120"/>
      <c r="H54" s="186"/>
      <c r="I54" s="120"/>
      <c r="J54" s="120"/>
    </row>
    <row r="55" spans="2:10" ht="12.75">
      <c r="B55" s="1" t="s">
        <v>212</v>
      </c>
      <c r="F55" s="78">
        <f>TotalIncurredClaims-TotalIncPaidClms-IBNR</f>
        <v>-198278</v>
      </c>
      <c r="G55" s="102"/>
      <c r="H55" s="186"/>
      <c r="I55" s="120"/>
      <c r="J55" s="120"/>
    </row>
    <row r="56" spans="2:10" ht="12.75">
      <c r="B56" s="1" t="s">
        <v>216</v>
      </c>
      <c r="F56" s="98">
        <f>IBNR+PendingClms</f>
        <v>318212.0203178106</v>
      </c>
      <c r="G56" s="102"/>
      <c r="H56" s="186"/>
      <c r="I56" s="120"/>
      <c r="J56" s="120"/>
    </row>
    <row r="57" spans="2:10" ht="12.75">
      <c r="B57" s="1" t="s">
        <v>215</v>
      </c>
      <c r="F57" s="98">
        <f>G45</f>
        <v>384550.0203178106</v>
      </c>
      <c r="G57" s="120"/>
      <c r="H57" s="186"/>
      <c r="I57" s="120"/>
      <c r="J57" s="120"/>
    </row>
    <row r="58" ht="12.75">
      <c r="I58" s="1" t="s">
        <v>46</v>
      </c>
    </row>
    <row r="59" ht="12.75"/>
    <row r="60" ht="12.75"/>
    <row r="61" ht="12.75">
      <c r="A61" s="1" t="s">
        <v>155</v>
      </c>
    </row>
  </sheetData>
  <printOptions/>
  <pageMargins left="0.75" right="0.75" top="1" bottom="1" header="0.5" footer="0.5"/>
  <pageSetup blackAndWhite="1" cellComments="asDisplayed" fitToHeight="1" fitToWidth="1" horizontalDpi="600" verticalDpi="600" orientation="landscape" scale="55" r:id="rId4"/>
  <headerFooter alignWithMargins="0">
    <oddFooter>&amp;L&amp;"Arial Narrow,Regular"&amp;9&amp;F &amp;A &amp;P / &amp;N
&amp;D &amp;T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J30" sqref="J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F56"/>
  <sheetViews>
    <sheetView workbookViewId="0" topLeftCell="A38">
      <selection activeCell="B46" sqref="B46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9.57421875" style="0" customWidth="1"/>
    <col min="4" max="4" width="30.140625" style="0" customWidth="1"/>
    <col min="5" max="5" width="17.8515625" style="0" customWidth="1"/>
    <col min="6" max="6" width="20.28125" style="0" customWidth="1"/>
  </cols>
  <sheetData>
    <row r="1" spans="1:6" ht="18">
      <c r="A1" s="2" t="str">
        <f>title1&amp;" - Interest Discount and Adjudication Expense"</f>
        <v>BLOCK CLAIM LIABILITY REPORT - Interest Discount and Adjudication Expense</v>
      </c>
      <c r="B1" s="1"/>
      <c r="C1" s="1"/>
      <c r="D1" s="1"/>
      <c r="E1" s="1"/>
      <c r="F1" s="1"/>
    </row>
    <row r="2" spans="1:6" ht="15.75">
      <c r="A2" s="9" t="s">
        <v>224</v>
      </c>
      <c r="B2" s="1"/>
      <c r="C2" s="1"/>
      <c r="D2" s="1"/>
      <c r="E2" s="1"/>
      <c r="F2" s="1"/>
    </row>
    <row r="3" spans="1:6" ht="15.75">
      <c r="A3" s="9" t="s">
        <v>236</v>
      </c>
      <c r="B3" s="1"/>
      <c r="C3" s="1"/>
      <c r="D3" s="1"/>
      <c r="E3" s="1"/>
      <c r="F3" s="1"/>
    </row>
    <row r="4" spans="1:6" ht="15">
      <c r="A4" s="33" t="s">
        <v>242</v>
      </c>
      <c r="B4" s="1"/>
      <c r="C4" s="1"/>
      <c r="D4" s="1"/>
      <c r="E4" s="1"/>
      <c r="F4" s="1"/>
    </row>
    <row r="5" spans="1:6" ht="12.75">
      <c r="A5" s="135"/>
      <c r="B5" s="4"/>
      <c r="C5" s="4"/>
      <c r="D5" s="4"/>
      <c r="E5" s="4"/>
      <c r="F5" s="4"/>
    </row>
    <row r="6" spans="1:6" ht="12.75">
      <c r="A6" s="135"/>
      <c r="B6" s="4"/>
      <c r="C6" s="4"/>
      <c r="D6" s="4"/>
      <c r="E6" s="4"/>
      <c r="F6" s="4"/>
    </row>
    <row r="7" spans="1:6" ht="12.75">
      <c r="A7" s="4"/>
      <c r="B7" s="4"/>
      <c r="C7" s="158"/>
      <c r="D7" s="4"/>
      <c r="E7" s="4"/>
      <c r="F7" s="4"/>
    </row>
    <row r="8" spans="1:6" ht="25.5">
      <c r="A8" s="14" t="s">
        <v>58</v>
      </c>
      <c r="B8" s="14" t="s">
        <v>175</v>
      </c>
      <c r="C8" s="14" t="s">
        <v>176</v>
      </c>
      <c r="D8" s="14" t="str">
        <f>"Monthly Discount Factors at  "&amp;TEXT(DisRat,"###.##%")</f>
        <v>Monthly Discount Factors at  4.%</v>
      </c>
      <c r="E8" s="14" t="s">
        <v>174</v>
      </c>
      <c r="F8" s="4"/>
    </row>
    <row r="9" spans="1:6" ht="12.75">
      <c r="A9" s="32">
        <f>ExpDat</f>
        <v>36008</v>
      </c>
      <c r="B9" s="1">
        <f>IF($A9="","",ROUND(DAYS360($A9,ValDat,0)/30,0))</f>
        <v>36</v>
      </c>
      <c r="C9" s="158">
        <f aca="true" t="shared" si="0" ref="C9:C43">IF($A9="","",1-INDEX(PaidCmpFac,1,$B9))</f>
        <v>0</v>
      </c>
      <c r="D9" s="130">
        <f>IF($A9="","",(1+DisRat)^-((B9-0.5)/12))</f>
        <v>0.8904503410260889</v>
      </c>
      <c r="E9" s="36">
        <f>IF($A9="","",C9*D9)</f>
        <v>0</v>
      </c>
      <c r="F9" s="1"/>
    </row>
    <row r="10" spans="1:6" ht="12.75">
      <c r="A10" s="32">
        <f>IF($A9="","",IF(DATE(YEAR(A9),MONTH(A9)+1,1)&gt;ValDat,"",DATE(YEAR(A9),MONTH(A9)+1,1)))</f>
        <v>36039</v>
      </c>
      <c r="B10" s="1">
        <f aca="true" t="shared" si="1" ref="B10:B44">IF($A10="","",ROUND(DAYS360($A10,ValDat,0)/30,0))</f>
        <v>35</v>
      </c>
      <c r="C10" s="130">
        <f t="shared" si="0"/>
        <v>0</v>
      </c>
      <c r="D10" s="130">
        <f aca="true" t="shared" si="2" ref="D10:D44">IF($A10="","",(1+DisRat)^-((B10-0.5)/12))</f>
        <v>0.8933654437315787</v>
      </c>
      <c r="E10" s="36">
        <f aca="true" t="shared" si="3" ref="E10:E44">IF($A10="","",C10*D10)</f>
        <v>0</v>
      </c>
      <c r="F10" s="1"/>
    </row>
    <row r="11" spans="1:6" ht="12.75">
      <c r="A11" s="32">
        <f aca="true" t="shared" si="4" ref="A11:A44">IF($A10="","",IF(DATE(YEAR(A10),MONTH(A10)+1,1)&gt;ValDat,"",DATE(YEAR(A10),MONTH(A10)+1,1)))</f>
        <v>36069</v>
      </c>
      <c r="B11" s="1">
        <f t="shared" si="1"/>
        <v>34</v>
      </c>
      <c r="C11" s="130">
        <f t="shared" si="0"/>
        <v>0</v>
      </c>
      <c r="D11" s="130">
        <f t="shared" si="2"/>
        <v>0.8962900897247644</v>
      </c>
      <c r="E11" s="36">
        <f t="shared" si="3"/>
        <v>0</v>
      </c>
      <c r="F11" s="1"/>
    </row>
    <row r="12" spans="1:6" ht="12.75">
      <c r="A12" s="32">
        <f t="shared" si="4"/>
        <v>36100</v>
      </c>
      <c r="B12" s="1">
        <f t="shared" si="1"/>
        <v>33</v>
      </c>
      <c r="C12" s="130">
        <f t="shared" si="0"/>
        <v>0</v>
      </c>
      <c r="D12" s="130">
        <f t="shared" si="2"/>
        <v>0.8992243102478871</v>
      </c>
      <c r="E12" s="36">
        <f t="shared" si="3"/>
        <v>0</v>
      </c>
      <c r="F12" s="1"/>
    </row>
    <row r="13" spans="1:6" ht="12.75">
      <c r="A13" s="32">
        <f t="shared" si="4"/>
        <v>36130</v>
      </c>
      <c r="B13" s="1">
        <f t="shared" si="1"/>
        <v>32</v>
      </c>
      <c r="C13" s="130">
        <f t="shared" si="0"/>
        <v>0</v>
      </c>
      <c r="D13" s="130">
        <f t="shared" si="2"/>
        <v>0.9021681366454659</v>
      </c>
      <c r="E13" s="36">
        <f t="shared" si="3"/>
        <v>0</v>
      </c>
      <c r="F13" s="1"/>
    </row>
    <row r="14" spans="1:6" ht="12.75">
      <c r="A14" s="32">
        <f t="shared" si="4"/>
        <v>36161</v>
      </c>
      <c r="B14" s="1">
        <f t="shared" si="1"/>
        <v>31</v>
      </c>
      <c r="C14" s="130">
        <f t="shared" si="0"/>
        <v>0</v>
      </c>
      <c r="D14" s="130">
        <f t="shared" si="2"/>
        <v>0.9051216003646343</v>
      </c>
      <c r="E14" s="36">
        <f t="shared" si="3"/>
        <v>0</v>
      </c>
      <c r="F14" s="1"/>
    </row>
    <row r="15" spans="1:6" ht="12.75">
      <c r="A15" s="32">
        <f t="shared" si="4"/>
        <v>36192</v>
      </c>
      <c r="B15" s="1">
        <f t="shared" si="1"/>
        <v>30</v>
      </c>
      <c r="C15" s="130">
        <f t="shared" si="0"/>
        <v>0</v>
      </c>
      <c r="D15" s="130">
        <f t="shared" si="2"/>
        <v>0.9080847329554755</v>
      </c>
      <c r="E15" s="36">
        <f t="shared" si="3"/>
        <v>0</v>
      </c>
      <c r="F15" s="1"/>
    </row>
    <row r="16" spans="1:6" ht="12.75">
      <c r="A16" s="32">
        <f t="shared" si="4"/>
        <v>36220</v>
      </c>
      <c r="B16" s="1">
        <f t="shared" si="1"/>
        <v>29</v>
      </c>
      <c r="C16" s="130">
        <f t="shared" si="0"/>
        <v>0</v>
      </c>
      <c r="D16" s="130">
        <f t="shared" si="2"/>
        <v>0.9110575660713593</v>
      </c>
      <c r="E16" s="36">
        <f t="shared" si="3"/>
        <v>0</v>
      </c>
      <c r="F16" s="1"/>
    </row>
    <row r="17" spans="1:6" ht="12.75">
      <c r="A17" s="32">
        <f t="shared" si="4"/>
        <v>36251</v>
      </c>
      <c r="B17" s="1">
        <f t="shared" si="1"/>
        <v>28</v>
      </c>
      <c r="C17" s="130">
        <f t="shared" si="0"/>
        <v>0</v>
      </c>
      <c r="D17" s="130">
        <f t="shared" si="2"/>
        <v>0.9140401314692803</v>
      </c>
      <c r="E17" s="36">
        <f t="shared" si="3"/>
        <v>0</v>
      </c>
      <c r="F17" s="1"/>
    </row>
    <row r="18" spans="1:6" ht="12.75">
      <c r="A18" s="32">
        <f t="shared" si="4"/>
        <v>36281</v>
      </c>
      <c r="B18" s="1">
        <f t="shared" si="1"/>
        <v>27</v>
      </c>
      <c r="C18" s="130">
        <f t="shared" si="0"/>
        <v>0</v>
      </c>
      <c r="D18" s="130">
        <f t="shared" si="2"/>
        <v>0.9170324610101978</v>
      </c>
      <c r="E18" s="36">
        <f t="shared" si="3"/>
        <v>0</v>
      </c>
      <c r="F18" s="1"/>
    </row>
    <row r="19" spans="1:6" ht="12.75">
      <c r="A19" s="32">
        <f t="shared" si="4"/>
        <v>36312</v>
      </c>
      <c r="B19" s="1">
        <f t="shared" si="1"/>
        <v>26</v>
      </c>
      <c r="C19" s="130">
        <f t="shared" si="0"/>
        <v>0</v>
      </c>
      <c r="D19" s="130">
        <f t="shared" si="2"/>
        <v>0.9200345866593744</v>
      </c>
      <c r="E19" s="36">
        <f t="shared" si="3"/>
        <v>0</v>
      </c>
      <c r="F19" s="1"/>
    </row>
    <row r="20" spans="1:6" ht="12.75">
      <c r="A20" s="32">
        <f t="shared" si="4"/>
        <v>36342</v>
      </c>
      <c r="B20" s="1">
        <f t="shared" si="1"/>
        <v>25</v>
      </c>
      <c r="C20" s="130">
        <f t="shared" si="0"/>
        <v>0</v>
      </c>
      <c r="D20" s="130">
        <f t="shared" si="2"/>
        <v>0.9230465404867202</v>
      </c>
      <c r="E20" s="36">
        <f t="shared" si="3"/>
        <v>0</v>
      </c>
      <c r="F20" s="1"/>
    </row>
    <row r="21" spans="1:6" ht="12.75">
      <c r="A21" s="32">
        <f t="shared" si="4"/>
        <v>36373</v>
      </c>
      <c r="B21" s="1">
        <f t="shared" si="1"/>
        <v>24</v>
      </c>
      <c r="C21" s="130">
        <f t="shared" si="0"/>
        <v>0</v>
      </c>
      <c r="D21" s="130">
        <f t="shared" si="2"/>
        <v>0.9260683546671327</v>
      </c>
      <c r="E21" s="36">
        <f t="shared" si="3"/>
        <v>0</v>
      </c>
      <c r="F21" s="1"/>
    </row>
    <row r="22" spans="1:6" ht="12.75">
      <c r="A22" s="32">
        <f t="shared" si="4"/>
        <v>36404</v>
      </c>
      <c r="B22" s="1">
        <f t="shared" si="1"/>
        <v>23</v>
      </c>
      <c r="C22" s="130">
        <f t="shared" si="0"/>
        <v>0</v>
      </c>
      <c r="D22" s="130">
        <f t="shared" si="2"/>
        <v>0.9291000614808418</v>
      </c>
      <c r="E22" s="36">
        <f t="shared" si="3"/>
        <v>0</v>
      </c>
      <c r="F22" s="1"/>
    </row>
    <row r="23" spans="1:6" ht="12.75">
      <c r="A23" s="32">
        <f t="shared" si="4"/>
        <v>36434</v>
      </c>
      <c r="B23" s="1">
        <f t="shared" si="1"/>
        <v>22</v>
      </c>
      <c r="C23" s="130">
        <f t="shared" si="0"/>
        <v>0</v>
      </c>
      <c r="D23" s="130">
        <f t="shared" si="2"/>
        <v>0.9321416933137551</v>
      </c>
      <c r="E23" s="36">
        <f t="shared" si="3"/>
        <v>0</v>
      </c>
      <c r="F23" s="1"/>
    </row>
    <row r="24" spans="1:6" ht="12.75">
      <c r="A24" s="32">
        <f t="shared" si="4"/>
        <v>36465</v>
      </c>
      <c r="B24" s="1">
        <f t="shared" si="1"/>
        <v>21</v>
      </c>
      <c r="C24" s="130">
        <f t="shared" si="0"/>
        <v>0</v>
      </c>
      <c r="D24" s="130">
        <f t="shared" si="2"/>
        <v>0.9351932826578024</v>
      </c>
      <c r="E24" s="36">
        <f t="shared" si="3"/>
        <v>0</v>
      </c>
      <c r="F24" s="1"/>
    </row>
    <row r="25" spans="1:6" ht="12.75">
      <c r="A25" s="32">
        <f t="shared" si="4"/>
        <v>36495</v>
      </c>
      <c r="B25" s="1">
        <f t="shared" si="1"/>
        <v>20</v>
      </c>
      <c r="C25" s="130">
        <f t="shared" si="0"/>
        <v>0</v>
      </c>
      <c r="D25" s="130">
        <f t="shared" si="2"/>
        <v>0.9382548621112846</v>
      </c>
      <c r="E25" s="36">
        <f t="shared" si="3"/>
        <v>0</v>
      </c>
      <c r="F25" s="1"/>
    </row>
    <row r="26" spans="1:6" ht="12.75">
      <c r="A26" s="32">
        <f t="shared" si="4"/>
        <v>36526</v>
      </c>
      <c r="B26" s="1">
        <f t="shared" si="1"/>
        <v>19</v>
      </c>
      <c r="C26" s="130">
        <f t="shared" si="0"/>
        <v>0</v>
      </c>
      <c r="D26" s="130">
        <f t="shared" si="2"/>
        <v>0.9413264643792196</v>
      </c>
      <c r="E26" s="36">
        <f t="shared" si="3"/>
        <v>0</v>
      </c>
      <c r="F26" s="1"/>
    </row>
    <row r="27" spans="1:6" ht="12.75">
      <c r="A27" s="32">
        <f t="shared" si="4"/>
        <v>36557</v>
      </c>
      <c r="B27" s="1">
        <f t="shared" si="1"/>
        <v>18</v>
      </c>
      <c r="C27" s="130">
        <f t="shared" si="0"/>
        <v>0</v>
      </c>
      <c r="D27" s="130">
        <f t="shared" si="2"/>
        <v>0.9444081222736946</v>
      </c>
      <c r="E27" s="36">
        <f t="shared" si="3"/>
        <v>0</v>
      </c>
      <c r="F27" s="1"/>
    </row>
    <row r="28" spans="1:6" ht="12.75">
      <c r="A28" s="32">
        <f t="shared" si="4"/>
        <v>36586</v>
      </c>
      <c r="B28" s="1">
        <f t="shared" si="1"/>
        <v>17</v>
      </c>
      <c r="C28" s="130">
        <f t="shared" si="0"/>
        <v>2.999999999997449E-05</v>
      </c>
      <c r="D28" s="130">
        <f t="shared" si="2"/>
        <v>0.9474998687142137</v>
      </c>
      <c r="E28" s="36">
        <f t="shared" si="3"/>
        <v>2.842499606140224E-05</v>
      </c>
      <c r="F28" s="1"/>
    </row>
    <row r="29" spans="1:6" ht="12.75">
      <c r="A29" s="32">
        <f t="shared" si="4"/>
        <v>36617</v>
      </c>
      <c r="B29" s="1">
        <f t="shared" si="1"/>
        <v>16</v>
      </c>
      <c r="C29" s="130">
        <f t="shared" si="0"/>
        <v>0.0012100000000000444</v>
      </c>
      <c r="D29" s="130">
        <f t="shared" si="2"/>
        <v>0.9506017367280517</v>
      </c>
      <c r="E29" s="36">
        <f t="shared" si="3"/>
        <v>0.0011502281014409848</v>
      </c>
      <c r="F29" s="1"/>
    </row>
    <row r="30" spans="1:6" ht="12.75">
      <c r="A30" s="32">
        <f t="shared" si="4"/>
        <v>36647</v>
      </c>
      <c r="B30" s="1">
        <f t="shared" si="1"/>
        <v>15</v>
      </c>
      <c r="C30" s="130">
        <f t="shared" si="0"/>
        <v>0.0032600000000000406</v>
      </c>
      <c r="D30" s="130">
        <f t="shared" si="2"/>
        <v>0.9537137594506055</v>
      </c>
      <c r="E30" s="36">
        <f t="shared" si="3"/>
        <v>0.003109106855809013</v>
      </c>
      <c r="F30" s="1"/>
    </row>
    <row r="31" spans="1:6" ht="12.75">
      <c r="A31" s="32">
        <f t="shared" si="4"/>
        <v>36678</v>
      </c>
      <c r="B31" s="1">
        <f t="shared" si="1"/>
        <v>14</v>
      </c>
      <c r="C31" s="130">
        <f t="shared" si="0"/>
        <v>0.00546000000000002</v>
      </c>
      <c r="D31" s="130">
        <f t="shared" si="2"/>
        <v>0.9568359701257495</v>
      </c>
      <c r="E31" s="36">
        <f t="shared" si="3"/>
        <v>0.005224324396886612</v>
      </c>
      <c r="F31" s="1"/>
    </row>
    <row r="32" spans="1:6" ht="12.75">
      <c r="A32" s="32">
        <f t="shared" si="4"/>
        <v>36708</v>
      </c>
      <c r="B32" s="1">
        <f t="shared" si="1"/>
        <v>13</v>
      </c>
      <c r="C32" s="130">
        <f t="shared" si="0"/>
        <v>0.009220000000000006</v>
      </c>
      <c r="D32" s="130">
        <f t="shared" si="2"/>
        <v>0.959968402106189</v>
      </c>
      <c r="E32" s="36">
        <f t="shared" si="3"/>
        <v>0.008850908667419067</v>
      </c>
      <c r="F32" s="1"/>
    </row>
    <row r="33" spans="1:6" ht="12.75">
      <c r="A33" s="32">
        <f t="shared" si="4"/>
        <v>36739</v>
      </c>
      <c r="B33" s="1">
        <f t="shared" si="1"/>
        <v>12</v>
      </c>
      <c r="C33" s="130">
        <f t="shared" si="0"/>
        <v>0.009630000000000027</v>
      </c>
      <c r="D33" s="130">
        <f t="shared" si="2"/>
        <v>0.9631110888538179</v>
      </c>
      <c r="E33" s="36">
        <f t="shared" si="3"/>
        <v>0.009274759785662293</v>
      </c>
      <c r="F33" s="1"/>
    </row>
    <row r="34" spans="1:6" ht="12.75">
      <c r="A34" s="32">
        <f t="shared" si="4"/>
        <v>36770</v>
      </c>
      <c r="B34" s="1">
        <f t="shared" si="1"/>
        <v>11</v>
      </c>
      <c r="C34" s="130">
        <f t="shared" si="0"/>
        <v>0.010419999999999985</v>
      </c>
      <c r="D34" s="130">
        <f t="shared" si="2"/>
        <v>0.9662640639400755</v>
      </c>
      <c r="E34" s="36">
        <f t="shared" si="3"/>
        <v>0.010068471546255571</v>
      </c>
      <c r="F34" s="1"/>
    </row>
    <row r="35" spans="1:6" ht="12.75">
      <c r="A35" s="32">
        <f t="shared" si="4"/>
        <v>36800</v>
      </c>
      <c r="B35" s="1">
        <f t="shared" si="1"/>
        <v>10</v>
      </c>
      <c r="C35" s="130">
        <f t="shared" si="0"/>
        <v>0.011480000000000046</v>
      </c>
      <c r="D35" s="130">
        <f t="shared" si="2"/>
        <v>0.9694273610463053</v>
      </c>
      <c r="E35" s="36">
        <f t="shared" si="3"/>
        <v>0.01112902610481163</v>
      </c>
      <c r="F35" s="1"/>
    </row>
    <row r="36" spans="1:6" ht="12.75">
      <c r="A36" s="32">
        <f t="shared" si="4"/>
        <v>36831</v>
      </c>
      <c r="B36" s="1">
        <f t="shared" si="1"/>
        <v>9</v>
      </c>
      <c r="C36" s="130">
        <f t="shared" si="0"/>
        <v>0.045640000000000014</v>
      </c>
      <c r="D36" s="130">
        <f t="shared" si="2"/>
        <v>0.9726010139641147</v>
      </c>
      <c r="E36" s="36">
        <f t="shared" si="3"/>
        <v>0.04438951027732221</v>
      </c>
      <c r="F36" s="1"/>
    </row>
    <row r="37" spans="1:6" ht="12.75">
      <c r="A37" s="32">
        <f t="shared" si="4"/>
        <v>36861</v>
      </c>
      <c r="B37" s="1">
        <f t="shared" si="1"/>
        <v>8</v>
      </c>
      <c r="C37" s="130">
        <f t="shared" si="0"/>
        <v>0.055520000000000014</v>
      </c>
      <c r="D37" s="130">
        <f t="shared" si="2"/>
        <v>0.975785056595736</v>
      </c>
      <c r="E37" s="36">
        <f t="shared" si="3"/>
        <v>0.05417558634219528</v>
      </c>
      <c r="F37" s="1"/>
    </row>
    <row r="38" spans="1:6" ht="12.75">
      <c r="A38" s="32">
        <f t="shared" si="4"/>
        <v>36892</v>
      </c>
      <c r="B38" s="1">
        <f t="shared" si="1"/>
        <v>7</v>
      </c>
      <c r="C38" s="130">
        <f t="shared" si="0"/>
        <v>0.05630000000000002</v>
      </c>
      <c r="D38" s="130">
        <f t="shared" si="2"/>
        <v>0.9789795229543885</v>
      </c>
      <c r="E38" s="36">
        <f t="shared" si="3"/>
        <v>0.05511654714233209</v>
      </c>
      <c r="F38" s="1"/>
    </row>
    <row r="39" spans="1:6" ht="12.75">
      <c r="A39" s="32">
        <f t="shared" si="4"/>
        <v>36923</v>
      </c>
      <c r="B39" s="1">
        <f t="shared" si="1"/>
        <v>6</v>
      </c>
      <c r="C39" s="130">
        <f t="shared" si="0"/>
        <v>0.08237000000000005</v>
      </c>
      <c r="D39" s="130">
        <f t="shared" si="2"/>
        <v>0.9821844471646424</v>
      </c>
      <c r="E39" s="36">
        <f t="shared" si="3"/>
        <v>0.08090253291295164</v>
      </c>
      <c r="F39" s="1"/>
    </row>
    <row r="40" spans="1:6" ht="12.75">
      <c r="A40" s="32">
        <f t="shared" si="4"/>
        <v>36951</v>
      </c>
      <c r="B40" s="1">
        <f t="shared" si="1"/>
        <v>5</v>
      </c>
      <c r="C40" s="130">
        <f t="shared" si="0"/>
        <v>0.17557999999999996</v>
      </c>
      <c r="D40" s="130">
        <f t="shared" si="2"/>
        <v>0.9853998634627823</v>
      </c>
      <c r="E40" s="36">
        <f t="shared" si="3"/>
        <v>0.17301650802679527</v>
      </c>
      <c r="F40" s="1"/>
    </row>
    <row r="41" spans="1:6" ht="12.75">
      <c r="A41" s="32">
        <f t="shared" si="4"/>
        <v>36982</v>
      </c>
      <c r="B41" s="1">
        <f t="shared" si="1"/>
        <v>4</v>
      </c>
      <c r="C41" s="130">
        <f t="shared" si="0"/>
        <v>0.25826000000000005</v>
      </c>
      <c r="D41" s="130">
        <f t="shared" si="2"/>
        <v>0.9886258061971737</v>
      </c>
      <c r="E41" s="36">
        <f t="shared" si="3"/>
        <v>0.2553225007084821</v>
      </c>
      <c r="F41" s="1"/>
    </row>
    <row r="42" spans="1:6" ht="12.75">
      <c r="A42" s="32">
        <f t="shared" si="4"/>
        <v>37012</v>
      </c>
      <c r="B42" s="1">
        <f t="shared" si="1"/>
        <v>3</v>
      </c>
      <c r="C42" s="130">
        <f t="shared" si="0"/>
        <v>0.3903</v>
      </c>
      <c r="D42" s="130">
        <f t="shared" si="2"/>
        <v>0.9918623098286299</v>
      </c>
      <c r="E42" s="36">
        <f t="shared" si="3"/>
        <v>0.3871238595261142</v>
      </c>
      <c r="F42" s="1"/>
    </row>
    <row r="43" spans="1:6" ht="12.75">
      <c r="A43" s="32">
        <f t="shared" si="4"/>
        <v>37043</v>
      </c>
      <c r="B43" s="1">
        <f t="shared" si="1"/>
        <v>2</v>
      </c>
      <c r="C43" s="130">
        <f t="shared" si="0"/>
        <v>0.6497200000000001</v>
      </c>
      <c r="D43" s="130">
        <f t="shared" si="2"/>
        <v>0.9951094089307796</v>
      </c>
      <c r="E43" s="36">
        <f t="shared" si="3"/>
        <v>0.6465424851705062</v>
      </c>
      <c r="F43" s="1"/>
    </row>
    <row r="44" spans="1:6" ht="13.5" thickBot="1">
      <c r="A44" s="32">
        <f t="shared" si="4"/>
        <v>37073</v>
      </c>
      <c r="B44" s="1">
        <f t="shared" si="1"/>
        <v>1</v>
      </c>
      <c r="C44" s="130">
        <f>IF($A44="","",1-INDEX(PaidCmpFac,1,$B44))</f>
        <v>0.94888</v>
      </c>
      <c r="D44" s="130">
        <f t="shared" si="2"/>
        <v>0.9983671381904367</v>
      </c>
      <c r="E44" s="36">
        <f t="shared" si="3"/>
        <v>0.9473306100861415</v>
      </c>
      <c r="F44" s="1"/>
    </row>
    <row r="45" spans="1:6" ht="13.5" thickTop="1">
      <c r="A45" s="7"/>
      <c r="B45" s="7"/>
      <c r="C45" s="131">
        <f>SUM(C9:C44)</f>
        <v>2.71328</v>
      </c>
      <c r="D45" s="7"/>
      <c r="E45" s="131">
        <f>SUM(E9:E44)</f>
        <v>2.692755390647187</v>
      </c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83" t="s">
        <v>158</v>
      </c>
      <c r="B47" s="1"/>
      <c r="C47" s="1"/>
      <c r="D47" s="1"/>
      <c r="E47" s="1"/>
      <c r="F47" s="1"/>
    </row>
    <row r="48" spans="1:6" ht="12.75">
      <c r="A48" s="1"/>
      <c r="B48" s="73" t="s">
        <v>139</v>
      </c>
      <c r="C48" s="74"/>
      <c r="D48" s="74"/>
      <c r="E48" s="76" t="s">
        <v>3</v>
      </c>
      <c r="F48" s="1"/>
    </row>
    <row r="49" spans="1:6" ht="12.75">
      <c r="A49" s="1"/>
      <c r="B49" s="1" t="s">
        <v>217</v>
      </c>
      <c r="C49" s="1"/>
      <c r="D49" s="1"/>
      <c r="E49" s="132">
        <f>IF(C45=0,0,E45/C45)</f>
        <v>0.9924354989706875</v>
      </c>
      <c r="F49" s="1"/>
    </row>
    <row r="50" spans="1:6" ht="12.75">
      <c r="A50" s="1"/>
      <c r="B50" s="1" t="s">
        <v>218</v>
      </c>
      <c r="C50" s="1"/>
      <c r="D50" s="1"/>
      <c r="E50" s="157">
        <f>1-E49</f>
        <v>0.007564501029312498</v>
      </c>
      <c r="F50" s="1"/>
    </row>
    <row r="51" spans="1:6" ht="12.75">
      <c r="A51" s="1"/>
      <c r="B51" s="159" t="s">
        <v>214</v>
      </c>
      <c r="C51" s="159"/>
      <c r="D51" s="159"/>
      <c r="E51" s="160">
        <f>Restated</f>
        <v>384550.0203178106</v>
      </c>
      <c r="F51" s="1"/>
    </row>
    <row r="52" spans="1:6" ht="12.75">
      <c r="A52" s="1"/>
      <c r="B52" s="159" t="s">
        <v>219</v>
      </c>
      <c r="C52" s="159"/>
      <c r="D52" s="159"/>
      <c r="E52" s="160">
        <f>E50*E51</f>
        <v>2908.92902451622</v>
      </c>
      <c r="F52" s="1"/>
    </row>
    <row r="53" spans="1:6" ht="12.75">
      <c r="A53" s="1"/>
      <c r="B53" s="1" t="s">
        <v>220</v>
      </c>
      <c r="C53" s="1"/>
      <c r="D53" s="1"/>
      <c r="E53" s="6">
        <f>AEFac</f>
        <v>0.02</v>
      </c>
      <c r="F53" s="1"/>
    </row>
    <row r="54" spans="1:6" ht="12.75">
      <c r="A54" s="1"/>
      <c r="B54" s="159" t="s">
        <v>213</v>
      </c>
      <c r="C54" s="159"/>
      <c r="D54" s="159"/>
      <c r="E54" s="161">
        <f>E51*E53</f>
        <v>7691.000406356212</v>
      </c>
      <c r="F54" s="1"/>
    </row>
    <row r="55" spans="1:6" ht="12.75">
      <c r="A55" s="1"/>
      <c r="B55" s="162" t="s">
        <v>221</v>
      </c>
      <c r="C55" s="162"/>
      <c r="D55" s="162"/>
      <c r="E55" s="163">
        <f>E51-E52+E54</f>
        <v>389332.0916996506</v>
      </c>
      <c r="F55" s="1" t="s">
        <v>46</v>
      </c>
    </row>
    <row r="56" spans="1:6" ht="12.75">
      <c r="A56" s="1"/>
      <c r="B56" s="1"/>
      <c r="C56" s="1"/>
      <c r="D56" s="1"/>
      <c r="E56" s="1"/>
      <c r="F56" s="1"/>
    </row>
  </sheetData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J52"/>
  <sheetViews>
    <sheetView workbookViewId="0" topLeftCell="C39">
      <selection activeCell="F44" sqref="F44"/>
    </sheetView>
  </sheetViews>
  <sheetFormatPr defaultColWidth="9.140625" defaultRowHeight="12.75"/>
  <cols>
    <col min="1" max="1" width="13.28125" style="0" customWidth="1"/>
    <col min="2" max="2" width="18.8515625" style="0" customWidth="1"/>
    <col min="4" max="4" width="22.140625" style="0" customWidth="1"/>
    <col min="6" max="6" width="16.28125" style="0" customWidth="1"/>
  </cols>
  <sheetData>
    <row r="1" spans="1:10" ht="18">
      <c r="A1" s="2" t="str">
        <f>title1&amp;" - Weighted NCC0"</f>
        <v>BLOCK CLAIM LIABILITY REPORT - Weighted NCC0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9" t="s">
        <v>224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9" t="s">
        <v>236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3" t="s">
        <v>242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35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135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31.5" customHeight="1">
      <c r="A8" s="14" t="s">
        <v>58</v>
      </c>
      <c r="B8" s="14" t="s">
        <v>133</v>
      </c>
      <c r="C8" s="14" t="s">
        <v>69</v>
      </c>
      <c r="D8" s="14" t="s">
        <v>134</v>
      </c>
      <c r="E8" s="14" t="s">
        <v>57</v>
      </c>
      <c r="F8" s="14" t="s">
        <v>135</v>
      </c>
      <c r="G8" s="14" t="s">
        <v>136</v>
      </c>
      <c r="H8" s="40"/>
      <c r="I8" s="40"/>
      <c r="J8" s="40"/>
    </row>
    <row r="9" spans="1:10" ht="12.75">
      <c r="A9" s="32">
        <f>ExpDat</f>
        <v>36008</v>
      </c>
      <c r="B9" s="36">
        <f aca="true" t="shared" si="0" ref="B9:B44">IF($A9="","",VLOOKUP($A9,NccFacDump,2,FALSE))</f>
        <v>1</v>
      </c>
      <c r="C9" s="51">
        <f>IF($A9="","",VLOOKUP(EOMONTH(ValDat,-1)+1,TrendFacDump,2,FALSE)/VLOOKUP(A9,TrendFacDump,2,FALSE))</f>
        <v>1.185255422543558</v>
      </c>
      <c r="D9" s="66">
        <f>IF($A9="","",VLOOKUP($A9,CalcIncClms,10,FALSE))</f>
        <v>99219</v>
      </c>
      <c r="E9" s="66">
        <f aca="true" t="shared" si="1" ref="E9:E44">IF($A9="","",VLOOKUP($A9,ExpDump,7,FALSE))</f>
        <v>2576.156</v>
      </c>
      <c r="F9" s="67">
        <f aca="true" t="shared" si="2" ref="F9:F44">IF($A9="","",D9*B9*C9)</f>
        <v>117599.85776934928</v>
      </c>
      <c r="G9" s="67">
        <f aca="true" t="shared" si="3" ref="G9:G44">IF($A9="","",E9*B9)</f>
        <v>2576.156</v>
      </c>
      <c r="H9" s="1"/>
      <c r="I9" s="1"/>
      <c r="J9" s="1"/>
    </row>
    <row r="10" spans="1:10" ht="12.75">
      <c r="A10" s="32">
        <f>IF($A9="","",IF(DATE(YEAR(A9),MONTH(A9)+1,1)&gt;ValDat,"",DATE(YEAR(A9),MONTH(A9)+1,1)))</f>
        <v>36039</v>
      </c>
      <c r="B10" s="36">
        <f t="shared" si="0"/>
        <v>1</v>
      </c>
      <c r="C10" s="51">
        <f>IF($A10="","",VLOOKUP(EOMONTH(ValDat,-1)+1,TrendFacDump,2,FALSE)/VLOOKUP(A10,TrendFacDump,2,FALSE))</f>
        <v>1.179523472517103</v>
      </c>
      <c r="D10" s="66">
        <f aca="true" t="shared" si="4" ref="D10:D44">IF($A10="","",VLOOKUP($A10,CalcIncClms,10,FALSE))</f>
        <v>99219</v>
      </c>
      <c r="E10" s="66">
        <f t="shared" si="1"/>
        <v>2663.767</v>
      </c>
      <c r="F10" s="67">
        <f t="shared" si="2"/>
        <v>117031.13941967445</v>
      </c>
      <c r="G10" s="67">
        <f t="shared" si="3"/>
        <v>2663.767</v>
      </c>
      <c r="H10" s="1"/>
      <c r="I10" s="1"/>
      <c r="J10" s="1"/>
    </row>
    <row r="11" spans="1:10" ht="12.75">
      <c r="A11" s="32">
        <f aca="true" t="shared" si="5" ref="A11:A44">IF($A10="","",IF(DATE(YEAR(A10),MONTH(A10)+1,1)&gt;ValDat,"",DATE(YEAR(A10),MONTH(A10)+1,1)))</f>
        <v>36069</v>
      </c>
      <c r="B11" s="36">
        <f t="shared" si="0"/>
        <v>1</v>
      </c>
      <c r="C11" s="51">
        <f>IF($A11="","",VLOOKUP(EOMONTH(ValDat,-1)+1,TrendFacDump,2,FALSE)/VLOOKUP(A11,TrendFacDump,2,FALSE))</f>
        <v>1.1738466956215519</v>
      </c>
      <c r="D11" s="66">
        <f t="shared" si="4"/>
        <v>292014</v>
      </c>
      <c r="E11" s="66">
        <f t="shared" si="1"/>
        <v>2728.208</v>
      </c>
      <c r="F11" s="67">
        <f t="shared" si="2"/>
        <v>342779.6689752318</v>
      </c>
      <c r="G11" s="67">
        <f t="shared" si="3"/>
        <v>2728.208</v>
      </c>
      <c r="H11" s="1"/>
      <c r="I11" s="1"/>
      <c r="J11" s="1"/>
    </row>
    <row r="12" spans="1:10" ht="12.75">
      <c r="A12" s="32">
        <f t="shared" si="5"/>
        <v>36100</v>
      </c>
      <c r="B12" s="36">
        <f t="shared" si="0"/>
        <v>1</v>
      </c>
      <c r="C12" s="51">
        <f>IF($A12="","",VLOOKUP(EOMONTH(ValDat,-1)+1,TrendFacDump,2,FALSE)/VLOOKUP(A12,TrendFacDump,2,FALSE))</f>
        <v>1.1680878402055834</v>
      </c>
      <c r="D12" s="66">
        <f t="shared" si="4"/>
        <v>292014</v>
      </c>
      <c r="E12" s="66">
        <f t="shared" si="1"/>
        <v>2780.754</v>
      </c>
      <c r="F12" s="67">
        <f t="shared" si="2"/>
        <v>341098.00256979326</v>
      </c>
      <c r="G12" s="67">
        <f t="shared" si="3"/>
        <v>2780.754</v>
      </c>
      <c r="H12" s="1"/>
      <c r="I12" s="1"/>
      <c r="J12" s="1"/>
    </row>
    <row r="13" spans="1:10" ht="12.75">
      <c r="A13" s="32">
        <f t="shared" si="5"/>
        <v>36130</v>
      </c>
      <c r="B13" s="36">
        <f t="shared" si="0"/>
        <v>1</v>
      </c>
      <c r="C13" s="51">
        <f>IF($A13="","",VLOOKUP(EOMONTH(ValDat,-1)+1,TrendFacDump,2,FALSE)/VLOOKUP(A13,TrendFacDump,2,FALSE))</f>
        <v>1.1623852144600721</v>
      </c>
      <c r="D13" s="66">
        <f t="shared" si="4"/>
        <v>109763</v>
      </c>
      <c r="E13" s="66">
        <f t="shared" si="1"/>
        <v>2826.459</v>
      </c>
      <c r="F13" s="67">
        <f t="shared" si="2"/>
        <v>127586.8882947809</v>
      </c>
      <c r="G13" s="67">
        <f t="shared" si="3"/>
        <v>2826.459</v>
      </c>
      <c r="H13" s="1"/>
      <c r="I13" s="1"/>
      <c r="J13" s="1"/>
    </row>
    <row r="14" spans="1:10" ht="12.75">
      <c r="A14" s="32">
        <f t="shared" si="5"/>
        <v>36161</v>
      </c>
      <c r="B14" s="36">
        <f t="shared" si="0"/>
        <v>1</v>
      </c>
      <c r="C14" s="51">
        <f>IF($A14="","",VLOOKUP(EOMONTH(ValDat,-1)+1,TrendFacDump,2,FALSE)/VLOOKUP(A14,TrendFacDump,2,FALSE))</f>
        <v>1.1568718186024989</v>
      </c>
      <c r="D14" s="66">
        <f t="shared" si="4"/>
        <v>109763</v>
      </c>
      <c r="E14" s="66">
        <f t="shared" si="1"/>
        <v>2835.062</v>
      </c>
      <c r="F14" s="67">
        <f t="shared" si="2"/>
        <v>126981.72142526608</v>
      </c>
      <c r="G14" s="67">
        <f t="shared" si="3"/>
        <v>2835.062</v>
      </c>
      <c r="H14" s="1"/>
      <c r="I14" s="1"/>
      <c r="J14" s="1"/>
    </row>
    <row r="15" spans="1:10" ht="12.75">
      <c r="A15" s="32">
        <f t="shared" si="5"/>
        <v>36192</v>
      </c>
      <c r="B15" s="36">
        <f t="shared" si="0"/>
        <v>1</v>
      </c>
      <c r="C15" s="51">
        <f>IF($A15="","",VLOOKUP(EOMONTH(ValDat,-1)+1,TrendFacDump,2,FALSE)/VLOOKUP(A15,TrendFacDump,2,FALSE))</f>
        <v>1.1512779184895232</v>
      </c>
      <c r="D15" s="66">
        <f t="shared" si="4"/>
        <v>164681</v>
      </c>
      <c r="E15" s="66">
        <f t="shared" si="1"/>
        <v>2816.626</v>
      </c>
      <c r="F15" s="67">
        <f t="shared" si="2"/>
        <v>189593.59889477317</v>
      </c>
      <c r="G15" s="67">
        <f t="shared" si="3"/>
        <v>2816.626</v>
      </c>
      <c r="H15" s="1"/>
      <c r="I15" s="1"/>
      <c r="J15" s="1"/>
    </row>
    <row r="16" spans="1:10" ht="12.75">
      <c r="A16" s="32">
        <f t="shared" si="5"/>
        <v>36220</v>
      </c>
      <c r="B16" s="36">
        <f t="shared" si="0"/>
        <v>1</v>
      </c>
      <c r="C16" s="51">
        <f>IF($A16="","",VLOOKUP(EOMONTH(ValDat,-1)+1,TrendFacDump,2,FALSE)/VLOOKUP(A16,TrendFacDump,2,FALSE))</f>
        <v>1.1456065986940085</v>
      </c>
      <c r="D16" s="66">
        <f t="shared" si="4"/>
        <v>164681</v>
      </c>
      <c r="E16" s="66">
        <f t="shared" si="1"/>
        <v>2829.576</v>
      </c>
      <c r="F16" s="67">
        <f t="shared" si="2"/>
        <v>188659.64027952802</v>
      </c>
      <c r="G16" s="67">
        <f t="shared" si="3"/>
        <v>2829.576</v>
      </c>
      <c r="H16" s="1"/>
      <c r="I16" s="1"/>
      <c r="J16" s="1"/>
    </row>
    <row r="17" spans="1:10" ht="12.75">
      <c r="A17" s="32">
        <f t="shared" si="5"/>
        <v>36251</v>
      </c>
      <c r="B17" s="36">
        <f t="shared" si="0"/>
        <v>1</v>
      </c>
      <c r="C17" s="51">
        <f>IF($A17="","",VLOOKUP(EOMONTH(ValDat,-1)+1,TrendFacDump,2,FALSE)/VLOOKUP(A17,TrendFacDump,2,FALSE))</f>
        <v>1.1401208528103979</v>
      </c>
      <c r="D17" s="66">
        <f t="shared" si="4"/>
        <v>171773</v>
      </c>
      <c r="E17" s="66">
        <f t="shared" si="1"/>
        <v>2910.367</v>
      </c>
      <c r="F17" s="67">
        <f t="shared" si="2"/>
        <v>195841.97924980047</v>
      </c>
      <c r="G17" s="67">
        <f t="shared" si="3"/>
        <v>2910.367</v>
      </c>
      <c r="H17" s="1"/>
      <c r="I17" s="1"/>
      <c r="J17" s="1"/>
    </row>
    <row r="18" spans="1:10" ht="12.75">
      <c r="A18" s="32">
        <f t="shared" si="5"/>
        <v>36281</v>
      </c>
      <c r="B18" s="36">
        <f t="shared" si="0"/>
        <v>1</v>
      </c>
      <c r="C18" s="51">
        <f>IF($A18="","",VLOOKUP(EOMONTH(ValDat,-1)+1,TrendFacDump,2,FALSE)/VLOOKUP(A18,TrendFacDump,2,FALSE))</f>
        <v>1.1345586566825505</v>
      </c>
      <c r="D18" s="66">
        <f t="shared" si="4"/>
        <v>171773</v>
      </c>
      <c r="E18" s="66">
        <f t="shared" si="1"/>
        <v>2874.026</v>
      </c>
      <c r="F18" s="67">
        <f t="shared" si="2"/>
        <v>194886.54413433175</v>
      </c>
      <c r="G18" s="67">
        <f t="shared" si="3"/>
        <v>2874.026</v>
      </c>
      <c r="H18" s="1"/>
      <c r="I18" s="1"/>
      <c r="J18" s="1"/>
    </row>
    <row r="19" spans="1:10" ht="12.75">
      <c r="A19" s="32">
        <f t="shared" si="5"/>
        <v>36312</v>
      </c>
      <c r="B19" s="36">
        <f t="shared" si="0"/>
        <v>1</v>
      </c>
      <c r="C19" s="51">
        <f>IF($A19="","",VLOOKUP(EOMONTH(ValDat,-1)+1,TrendFacDump,2,FALSE)/VLOOKUP(A19,TrendFacDump,2,FALSE))</f>
        <v>1.1290504685559444</v>
      </c>
      <c r="D19" s="66">
        <f t="shared" si="4"/>
        <v>294045</v>
      </c>
      <c r="E19" s="66">
        <f t="shared" si="1"/>
        <v>2840.922</v>
      </c>
      <c r="F19" s="67">
        <f t="shared" si="2"/>
        <v>331991.64502653264</v>
      </c>
      <c r="G19" s="67">
        <f t="shared" si="3"/>
        <v>2840.922</v>
      </c>
      <c r="H19" s="1"/>
      <c r="I19" s="1"/>
      <c r="J19" s="1"/>
    </row>
    <row r="20" spans="1:10" ht="12.75">
      <c r="A20" s="32">
        <f t="shared" si="5"/>
        <v>36342</v>
      </c>
      <c r="B20" s="36">
        <f t="shared" si="0"/>
        <v>1</v>
      </c>
      <c r="C20" s="51">
        <f>IF($A20="","",VLOOKUP(EOMONTH(ValDat,-1)+1,TrendFacDump,2,FALSE)/VLOOKUP(A20,TrendFacDump,2,FALSE))</f>
        <v>1.1235955056179776</v>
      </c>
      <c r="D20" s="66">
        <f t="shared" si="4"/>
        <v>294045</v>
      </c>
      <c r="E20" s="66">
        <f t="shared" si="1"/>
        <v>2830.386</v>
      </c>
      <c r="F20" s="67">
        <f t="shared" si="2"/>
        <v>330387.64044943824</v>
      </c>
      <c r="G20" s="67">
        <f t="shared" si="3"/>
        <v>2830.386</v>
      </c>
      <c r="H20" s="1"/>
      <c r="I20" s="1"/>
      <c r="J20" s="1"/>
    </row>
    <row r="21" spans="1:10" ht="12.75">
      <c r="A21" s="32">
        <f t="shared" si="5"/>
        <v>36373</v>
      </c>
      <c r="B21" s="36">
        <f t="shared" si="0"/>
        <v>1</v>
      </c>
      <c r="C21" s="51">
        <f>IF($A21="","",VLOOKUP(EOMONTH(ValDat,-1)+1,TrendFacDump,2,FALSE)/VLOOKUP(A21,TrendFacDump,2,FALSE))</f>
        <v>1.1181930001118192</v>
      </c>
      <c r="D21" s="66">
        <f t="shared" si="4"/>
        <v>111076</v>
      </c>
      <c r="E21" s="66">
        <f t="shared" si="1"/>
        <v>2957.813</v>
      </c>
      <c r="F21" s="67">
        <f t="shared" si="2"/>
        <v>124204.40568042043</v>
      </c>
      <c r="G21" s="67">
        <f t="shared" si="3"/>
        <v>2957.813</v>
      </c>
      <c r="H21" s="1"/>
      <c r="I21" s="1"/>
      <c r="J21" s="1"/>
    </row>
    <row r="22" spans="1:10" ht="12.75">
      <c r="A22" s="32">
        <f t="shared" si="5"/>
        <v>36404</v>
      </c>
      <c r="B22" s="36">
        <f t="shared" si="0"/>
        <v>1</v>
      </c>
      <c r="C22" s="51">
        <f>IF($A22="","",VLOOKUP(EOMONTH(ValDat,-1)+1,TrendFacDump,2,FALSE)/VLOOKUP(A22,TrendFacDump,2,FALSE))</f>
        <v>1.1127183709803048</v>
      </c>
      <c r="D22" s="66">
        <f t="shared" si="4"/>
        <v>111076</v>
      </c>
      <c r="E22" s="66">
        <f t="shared" si="1"/>
        <v>2973.885</v>
      </c>
      <c r="F22" s="67">
        <f t="shared" si="2"/>
        <v>123596.30577500834</v>
      </c>
      <c r="G22" s="67">
        <f t="shared" si="3"/>
        <v>2973.885</v>
      </c>
      <c r="H22" s="1"/>
      <c r="I22" s="1"/>
      <c r="J22" s="1"/>
    </row>
    <row r="23" spans="1:10" ht="12.75">
      <c r="A23" s="32">
        <f t="shared" si="5"/>
        <v>36434</v>
      </c>
      <c r="B23" s="36">
        <f t="shared" si="0"/>
        <v>1</v>
      </c>
      <c r="C23" s="51">
        <f>IF($A23="","",VLOOKUP(EOMONTH(ValDat,-1)+1,TrendFacDump,2,FALSE)/VLOOKUP(A23,TrendFacDump,2,FALSE))</f>
        <v>1.107297087808659</v>
      </c>
      <c r="D23" s="66">
        <f t="shared" si="4"/>
        <v>171436</v>
      </c>
      <c r="E23" s="66">
        <f t="shared" si="1"/>
        <v>2943.35</v>
      </c>
      <c r="F23" s="67">
        <f t="shared" si="2"/>
        <v>189830.58354556526</v>
      </c>
      <c r="G23" s="67">
        <f t="shared" si="3"/>
        <v>2943.35</v>
      </c>
      <c r="H23" s="1"/>
      <c r="I23" s="1"/>
      <c r="J23" s="1"/>
    </row>
    <row r="24" spans="1:10" ht="12.75">
      <c r="A24" s="32">
        <f t="shared" si="5"/>
        <v>36465</v>
      </c>
      <c r="B24" s="36">
        <f t="shared" si="0"/>
        <v>1</v>
      </c>
      <c r="C24" s="51">
        <f>IF($A24="","",VLOOKUP(EOMONTH(ValDat,-1)+1,TrendFacDump,2,FALSE)/VLOOKUP(A24,TrendFacDump,2,FALSE))</f>
        <v>1.1019283746556474</v>
      </c>
      <c r="D24" s="66">
        <f t="shared" si="4"/>
        <v>171436</v>
      </c>
      <c r="E24" s="66">
        <f t="shared" si="1"/>
        <v>3014.083</v>
      </c>
      <c r="F24" s="67">
        <f t="shared" si="2"/>
        <v>188910.19283746558</v>
      </c>
      <c r="G24" s="67">
        <f t="shared" si="3"/>
        <v>3014.083</v>
      </c>
      <c r="H24" s="1"/>
      <c r="I24" s="1"/>
      <c r="J24" s="1"/>
    </row>
    <row r="25" spans="1:10" ht="12.75">
      <c r="A25" s="32">
        <f t="shared" si="5"/>
        <v>36495</v>
      </c>
      <c r="B25" s="36">
        <f t="shared" si="0"/>
        <v>1</v>
      </c>
      <c r="C25" s="51">
        <f>IF($A25="","",VLOOKUP(EOMONTH(ValDat,-1)+1,TrendFacDump,2,FALSE)/VLOOKUP(A25,TrendFacDump,2,FALSE))</f>
        <v>1.096611470555982</v>
      </c>
      <c r="D25" s="66">
        <f t="shared" si="4"/>
        <v>111538</v>
      </c>
      <c r="E25" s="66">
        <f t="shared" si="1"/>
        <v>3018.721</v>
      </c>
      <c r="F25" s="67">
        <f t="shared" si="2"/>
        <v>122313.85020287312</v>
      </c>
      <c r="G25" s="67">
        <f t="shared" si="3"/>
        <v>3018.721</v>
      </c>
      <c r="H25" s="1"/>
      <c r="I25" s="1"/>
      <c r="J25" s="1"/>
    </row>
    <row r="26" spans="1:10" ht="12.75">
      <c r="A26" s="32">
        <f t="shared" si="5"/>
        <v>36526</v>
      </c>
      <c r="B26" s="36">
        <f t="shared" si="0"/>
        <v>1</v>
      </c>
      <c r="C26" s="51">
        <f>IF($A26="","",VLOOKUP(EOMONTH(ValDat,-1)+1,TrendFacDump,2,FALSE)/VLOOKUP(A26,TrendFacDump,2,FALSE))</f>
        <v>1.0913456291607553</v>
      </c>
      <c r="D26" s="66">
        <f t="shared" si="4"/>
        <v>111538</v>
      </c>
      <c r="E26" s="66">
        <f t="shared" si="1"/>
        <v>3003.323</v>
      </c>
      <c r="F26" s="67">
        <f t="shared" si="2"/>
        <v>121726.50878533232</v>
      </c>
      <c r="G26" s="67">
        <f t="shared" si="3"/>
        <v>3003.323</v>
      </c>
      <c r="H26" s="1"/>
      <c r="I26" s="1"/>
      <c r="J26" s="1"/>
    </row>
    <row r="27" spans="1:10" ht="12.75">
      <c r="A27" s="32">
        <f t="shared" si="5"/>
        <v>36557</v>
      </c>
      <c r="B27" s="36">
        <f t="shared" si="0"/>
        <v>1</v>
      </c>
      <c r="C27" s="51">
        <f>IF($A27="","",VLOOKUP(EOMONTH(ValDat,-1)+1,TrendFacDump,2,FALSE)/VLOOKUP(A27,TrendFacDump,2,FALSE))</f>
        <v>1.0860121633362294</v>
      </c>
      <c r="D27" s="66">
        <f t="shared" si="4"/>
        <v>211563</v>
      </c>
      <c r="E27" s="66">
        <f t="shared" si="1"/>
        <v>3006.059</v>
      </c>
      <c r="F27" s="67">
        <f t="shared" si="2"/>
        <v>229759.9913119027</v>
      </c>
      <c r="G27" s="67">
        <f t="shared" si="3"/>
        <v>3006.059</v>
      </c>
      <c r="H27" s="1"/>
      <c r="I27" s="1"/>
      <c r="J27" s="1"/>
    </row>
    <row r="28" spans="1:10" ht="12.75">
      <c r="A28" s="32">
        <f t="shared" si="5"/>
        <v>36586</v>
      </c>
      <c r="B28" s="36">
        <f t="shared" si="0"/>
        <v>1</v>
      </c>
      <c r="C28" s="51">
        <f>IF($A28="","",VLOOKUP(EOMONTH(ValDat,-1)+1,TrendFacDump,2,FALSE)/VLOOKUP(A28,TrendFacDump,2,FALSE))</f>
        <v>1.0808473843493298</v>
      </c>
      <c r="D28" s="66">
        <f t="shared" si="4"/>
        <v>211627.66356035118</v>
      </c>
      <c r="E28" s="66">
        <f t="shared" si="1"/>
        <v>3001.39</v>
      </c>
      <c r="F28" s="67">
        <f t="shared" si="2"/>
        <v>228737.20661516555</v>
      </c>
      <c r="G28" s="67">
        <f t="shared" si="3"/>
        <v>3001.39</v>
      </c>
      <c r="H28" s="1"/>
      <c r="I28" s="1"/>
      <c r="J28" s="1"/>
    </row>
    <row r="29" spans="1:10" ht="12.75">
      <c r="A29" s="32">
        <f t="shared" si="5"/>
        <v>36617</v>
      </c>
      <c r="B29" s="36">
        <f t="shared" si="0"/>
        <v>1</v>
      </c>
      <c r="C29" s="51">
        <f>IF($A29="","",VLOOKUP(EOMONTH(ValDat,-1)+1,TrendFacDump,2,FALSE)/VLOOKUP(A29,TrendFacDump,2,FALSE))</f>
        <v>1.0755001075500108</v>
      </c>
      <c r="D29" s="66">
        <f t="shared" si="4"/>
        <v>183432.87764419251</v>
      </c>
      <c r="E29" s="66">
        <f t="shared" si="1"/>
        <v>3027.804</v>
      </c>
      <c r="F29" s="67">
        <f t="shared" si="2"/>
        <v>197282.07963453702</v>
      </c>
      <c r="G29" s="67">
        <f t="shared" si="3"/>
        <v>3027.804</v>
      </c>
      <c r="H29" s="1"/>
      <c r="I29" s="1"/>
      <c r="J29" s="1"/>
    </row>
    <row r="30" spans="1:10" ht="12.75">
      <c r="A30" s="32">
        <f t="shared" si="5"/>
        <v>36647</v>
      </c>
      <c r="B30" s="36">
        <f t="shared" si="0"/>
        <v>1</v>
      </c>
      <c r="C30" s="51">
        <f>IF($A30="","",VLOOKUP(EOMONTH(ValDat,-1)+1,TrendFacDump,2,FALSE)/VLOOKUP(A30,TrendFacDump,2,FALSE))</f>
        <v>1.0703200256876806</v>
      </c>
      <c r="D30" s="66">
        <f t="shared" si="4"/>
        <v>184167.25004901248</v>
      </c>
      <c r="E30" s="66">
        <f t="shared" si="1"/>
        <v>3053.259</v>
      </c>
      <c r="F30" s="67">
        <f t="shared" si="2"/>
        <v>197117.89580328853</v>
      </c>
      <c r="G30" s="67">
        <f t="shared" si="3"/>
        <v>3053.259</v>
      </c>
      <c r="H30" s="1"/>
      <c r="I30" s="1"/>
      <c r="J30" s="1"/>
    </row>
    <row r="31" spans="1:10" ht="12.75">
      <c r="A31" s="32">
        <f t="shared" si="5"/>
        <v>36678</v>
      </c>
      <c r="B31" s="36">
        <f t="shared" si="0"/>
        <v>1</v>
      </c>
      <c r="C31" s="51">
        <f>IF($A31="","",VLOOKUP(EOMONTH(ValDat,-1)+1,TrendFacDump,2,FALSE)/VLOOKUP(A31,TrendFacDump,2,FALSE))</f>
        <v>1.0651896037494675</v>
      </c>
      <c r="D31" s="66">
        <f t="shared" si="4"/>
        <v>330260.16432499635</v>
      </c>
      <c r="E31" s="66">
        <f t="shared" si="1"/>
        <v>3019.494</v>
      </c>
      <c r="F31" s="67">
        <f t="shared" si="2"/>
        <v>351789.6935715769</v>
      </c>
      <c r="G31" s="67">
        <f t="shared" si="3"/>
        <v>3019.494</v>
      </c>
      <c r="H31" s="1"/>
      <c r="I31" s="1"/>
      <c r="J31" s="1"/>
    </row>
    <row r="32" spans="1:10" ht="12.75">
      <c r="A32" s="32">
        <f t="shared" si="5"/>
        <v>36708</v>
      </c>
      <c r="B32" s="36">
        <f t="shared" si="0"/>
        <v>1</v>
      </c>
      <c r="C32" s="51">
        <f>IF($A32="","",VLOOKUP(EOMONTH(ValDat,-1)+1,TrendFacDump,2,FALSE)/VLOOKUP(A32,TrendFacDump,2,FALSE))</f>
        <v>1.0599957600169598</v>
      </c>
      <c r="D32" s="66">
        <f t="shared" si="4"/>
        <v>330263.73572985025</v>
      </c>
      <c r="E32" s="66">
        <f t="shared" si="1"/>
        <v>3006.066</v>
      </c>
      <c r="F32" s="67">
        <f t="shared" si="2"/>
        <v>350078.159561003</v>
      </c>
      <c r="G32" s="67">
        <f t="shared" si="3"/>
        <v>3006.066</v>
      </c>
      <c r="H32" s="1"/>
      <c r="I32" s="1"/>
      <c r="J32" s="1"/>
    </row>
    <row r="33" spans="1:10" ht="12.75">
      <c r="A33" s="32">
        <f t="shared" si="5"/>
        <v>36739</v>
      </c>
      <c r="B33" s="36">
        <f t="shared" si="0"/>
        <v>1</v>
      </c>
      <c r="C33" s="51">
        <f>IF($A33="","",VLOOKUP(EOMONTH(ValDat,-1)+1,TrendFacDump,2,FALSE)/VLOOKUP(A33,TrendFacDump,2,FALSE))</f>
        <v>1.0548523206751055</v>
      </c>
      <c r="D33" s="66">
        <f t="shared" si="4"/>
        <v>282478.5609166512</v>
      </c>
      <c r="E33" s="66">
        <f t="shared" si="1"/>
        <v>2987.363</v>
      </c>
      <c r="F33" s="67">
        <f t="shared" si="2"/>
        <v>297973.16552389367</v>
      </c>
      <c r="G33" s="67">
        <f t="shared" si="3"/>
        <v>2987.363</v>
      </c>
      <c r="H33" s="1"/>
      <c r="I33" s="1"/>
      <c r="J33" s="1"/>
    </row>
    <row r="34" spans="1:10" ht="12.75">
      <c r="A34" s="32">
        <f t="shared" si="5"/>
        <v>36770</v>
      </c>
      <c r="B34" s="36">
        <f t="shared" si="0"/>
        <v>1</v>
      </c>
      <c r="C34" s="51">
        <f>IF($A34="","",VLOOKUP(EOMONTH(ValDat,-1)+1,TrendFacDump,2,FALSE)/VLOOKUP(A34,TrendFacDump,2,FALSE))</f>
        <v>1.0497585555322275</v>
      </c>
      <c r="D34" s="66">
        <f t="shared" si="4"/>
        <v>282864.7597918474</v>
      </c>
      <c r="E34" s="66">
        <f t="shared" si="1"/>
        <v>2953.335</v>
      </c>
      <c r="F34" s="67">
        <f t="shared" si="2"/>
        <v>296939.7016500602</v>
      </c>
      <c r="G34" s="67">
        <f t="shared" si="3"/>
        <v>2953.335</v>
      </c>
      <c r="H34" s="1"/>
      <c r="I34" s="1"/>
      <c r="J34" s="1"/>
    </row>
    <row r="35" spans="1:10" ht="12.75">
      <c r="A35" s="32">
        <f t="shared" si="5"/>
        <v>36800</v>
      </c>
      <c r="B35" s="36">
        <f t="shared" si="0"/>
        <v>1</v>
      </c>
      <c r="C35" s="51">
        <f>IF($A35="","",VLOOKUP(EOMONTH(ValDat,-1)+1,TrendFacDump,2,FALSE)/VLOOKUP(A35,TrendFacDump,2,FALSE))</f>
        <v>1.0447137484329294</v>
      </c>
      <c r="D35" s="66">
        <f t="shared" si="4"/>
        <v>185068.15749487467</v>
      </c>
      <c r="E35" s="66">
        <f t="shared" si="1"/>
        <v>2927.266</v>
      </c>
      <c r="F35" s="67">
        <f t="shared" si="2"/>
        <v>193343.24853204624</v>
      </c>
      <c r="G35" s="67">
        <f t="shared" si="3"/>
        <v>2927.266</v>
      </c>
      <c r="H35" s="1"/>
      <c r="I35" s="1"/>
      <c r="J35" s="1"/>
    </row>
    <row r="36" spans="1:10" ht="12.75">
      <c r="A36" s="32">
        <f t="shared" si="5"/>
        <v>36831</v>
      </c>
      <c r="B36" s="36">
        <f t="shared" si="0"/>
        <v>1</v>
      </c>
      <c r="C36" s="51">
        <f>IF($A36="","",VLOOKUP(EOMONTH(ValDat,-1)+1,TrendFacDump,2,FALSE)/VLOOKUP(A36,TrendFacDump,2,FALSE))</f>
        <v>1.0396091069757771</v>
      </c>
      <c r="D36" s="66">
        <f t="shared" si="4"/>
        <v>185323.69106984677</v>
      </c>
      <c r="E36" s="66">
        <f t="shared" si="1"/>
        <v>2897.225</v>
      </c>
      <c r="F36" s="67">
        <f t="shared" si="2"/>
        <v>192664.1969745782</v>
      </c>
      <c r="G36" s="67">
        <f t="shared" si="3"/>
        <v>2897.225</v>
      </c>
      <c r="H36" s="1"/>
      <c r="I36" s="1"/>
      <c r="J36" s="1"/>
    </row>
    <row r="37" spans="1:10" ht="12.75">
      <c r="A37" s="32">
        <f t="shared" si="5"/>
        <v>36861</v>
      </c>
      <c r="B37" s="36">
        <f t="shared" si="0"/>
        <v>1</v>
      </c>
      <c r="C37" s="51">
        <f>IF($A37="","",VLOOKUP(EOMONTH(ValDat,-1)+1,TrendFacDump,2,FALSE)/VLOOKUP(A37,TrendFacDump,2,FALSE))</f>
        <v>1.0345541071798054</v>
      </c>
      <c r="D37" s="66">
        <f t="shared" si="4"/>
        <v>87093.92108049507</v>
      </c>
      <c r="E37" s="66">
        <f t="shared" si="1"/>
        <v>2887.18</v>
      </c>
      <c r="F37" s="67">
        <f t="shared" si="2"/>
        <v>90103.37376422001</v>
      </c>
      <c r="G37" s="67">
        <f t="shared" si="3"/>
        <v>2887.18</v>
      </c>
      <c r="H37" s="1"/>
      <c r="I37" s="1"/>
      <c r="J37" s="1"/>
    </row>
    <row r="38" spans="1:10" ht="12.75">
      <c r="A38" s="32">
        <f t="shared" si="5"/>
        <v>36892</v>
      </c>
      <c r="B38" s="36">
        <f t="shared" si="0"/>
        <v>1</v>
      </c>
      <c r="C38" s="51">
        <f>IF($A38="","",VLOOKUP(EOMONTH(ValDat,-1)+1,TrendFacDump,2,FALSE)/VLOOKUP(A38,TrendFacDump,2,FALSE))</f>
        <v>1.0295480284155256</v>
      </c>
      <c r="D38" s="66">
        <f t="shared" si="4"/>
        <v>93385.90721455961</v>
      </c>
      <c r="E38" s="66">
        <f t="shared" si="1"/>
        <v>2887.803</v>
      </c>
      <c r="F38" s="67">
        <f t="shared" si="2"/>
        <v>96145.27665454506</v>
      </c>
      <c r="G38" s="67">
        <f t="shared" si="3"/>
        <v>2887.803</v>
      </c>
      <c r="H38" s="1"/>
      <c r="I38" s="1"/>
      <c r="J38" s="1"/>
    </row>
    <row r="39" spans="1:10" ht="12.75">
      <c r="A39" s="32">
        <f t="shared" si="5"/>
        <v>36923</v>
      </c>
      <c r="B39" s="36">
        <f t="shared" si="0"/>
        <v>1</v>
      </c>
      <c r="C39" s="51">
        <f>IF($A39="","",VLOOKUP(EOMONTH(ValDat,-1)+1,TrendFacDump,2,FALSE)/VLOOKUP(A39,TrendFacDump,2,FALSE))</f>
        <v>1.0245901639344261</v>
      </c>
      <c r="D39" s="66">
        <f t="shared" si="4"/>
        <v>156941.6979178773</v>
      </c>
      <c r="E39" s="66">
        <f t="shared" si="1"/>
        <v>2887.028</v>
      </c>
      <c r="F39" s="67">
        <f t="shared" si="2"/>
        <v>160800.91999782508</v>
      </c>
      <c r="G39" s="67">
        <f t="shared" si="3"/>
        <v>2887.028</v>
      </c>
      <c r="H39" s="1"/>
      <c r="I39" s="1"/>
      <c r="J39" s="1"/>
    </row>
    <row r="40" spans="1:10" ht="12.75">
      <c r="A40" s="32">
        <f t="shared" si="5"/>
        <v>36951</v>
      </c>
      <c r="B40" s="36">
        <f t="shared" si="0"/>
        <v>1</v>
      </c>
      <c r="C40" s="51">
        <f>IF($A40="","",VLOOKUP(EOMONTH(ValDat,-1)+1,TrendFacDump,2,FALSE)/VLOOKUP(A40,TrendFacDump,2,FALSE))</f>
        <v>1.0195758564437194</v>
      </c>
      <c r="D40" s="66">
        <f t="shared" si="4"/>
        <v>162716.8669878784</v>
      </c>
      <c r="E40" s="66">
        <f t="shared" si="1"/>
        <v>2848.341</v>
      </c>
      <c r="F40" s="67">
        <f t="shared" si="2"/>
        <v>165902.1890170049</v>
      </c>
      <c r="G40" s="67">
        <f t="shared" si="3"/>
        <v>2848.341</v>
      </c>
      <c r="H40" s="1"/>
      <c r="I40" s="1"/>
      <c r="J40" s="1"/>
    </row>
    <row r="41" spans="1:10" ht="12.75">
      <c r="A41" s="32">
        <f t="shared" si="5"/>
        <v>36982</v>
      </c>
      <c r="B41" s="36">
        <f t="shared" si="0"/>
        <v>1</v>
      </c>
      <c r="C41" s="51">
        <f>IF($A41="","",VLOOKUP(EOMONTH(ValDat,-1)+1,TrendFacDump,2,FALSE)/VLOOKUP(A41,TrendFacDump,2,FALSE))</f>
        <v>1.0147133434804667</v>
      </c>
      <c r="D41" s="66">
        <f t="shared" si="4"/>
        <v>158000.44683859556</v>
      </c>
      <c r="E41" s="66">
        <f t="shared" si="1"/>
        <v>2809.872</v>
      </c>
      <c r="F41" s="67">
        <f t="shared" si="2"/>
        <v>160325.16168299902</v>
      </c>
      <c r="G41" s="67">
        <f t="shared" si="3"/>
        <v>2809.872</v>
      </c>
      <c r="H41" s="1"/>
      <c r="I41" s="1"/>
      <c r="J41" s="1"/>
    </row>
    <row r="42" spans="1:10" ht="12.75">
      <c r="A42" s="32">
        <f t="shared" si="5"/>
        <v>37012</v>
      </c>
      <c r="B42" s="36">
        <f t="shared" si="0"/>
        <v>1</v>
      </c>
      <c r="C42" s="51">
        <f>IF($A42="","",VLOOKUP(EOMONTH(ValDat,-1)+1,TrendFacDump,2,FALSE)/VLOOKUP(A42,TrendFacDump,2,FALSE))</f>
        <v>1.0097950116126426</v>
      </c>
      <c r="D42" s="66">
        <f t="shared" si="4"/>
        <v>215921.97804735258</v>
      </c>
      <c r="E42" s="66">
        <f t="shared" si="1"/>
        <v>2815.611</v>
      </c>
      <c r="F42" s="67">
        <f t="shared" si="2"/>
        <v>218036.93632975116</v>
      </c>
      <c r="G42" s="67">
        <f t="shared" si="3"/>
        <v>2815.611</v>
      </c>
      <c r="H42" s="1"/>
      <c r="I42" s="1"/>
      <c r="J42" s="1"/>
    </row>
    <row r="43" spans="1:10" ht="12.75">
      <c r="A43" s="32">
        <f t="shared" si="5"/>
        <v>37043</v>
      </c>
      <c r="B43" s="36">
        <f t="shared" si="0"/>
        <v>1</v>
      </c>
      <c r="C43" s="51">
        <f>IF($A43="","",VLOOKUP(EOMONTH(ValDat,-1)+1,TrendFacDump,2,FALSE)/VLOOKUP(A43,TrendFacDump,2,FALSE))</f>
        <v>1.004823151125402</v>
      </c>
      <c r="D43" s="66">
        <f t="shared" si="4"/>
        <v>142932.54313697765</v>
      </c>
      <c r="E43" s="66">
        <f t="shared" si="1"/>
        <v>2810.516</v>
      </c>
      <c r="F43" s="67">
        <f t="shared" si="2"/>
        <v>143621.92839326532</v>
      </c>
      <c r="G43" s="67">
        <f t="shared" si="3"/>
        <v>2810.516</v>
      </c>
      <c r="H43" s="1"/>
      <c r="I43" s="1"/>
      <c r="J43" s="1"/>
    </row>
    <row r="44" spans="1:10" ht="13.5" thickBot="1">
      <c r="A44" s="32">
        <f t="shared" si="5"/>
        <v>37073</v>
      </c>
      <c r="B44" s="36">
        <f t="shared" si="0"/>
        <v>1</v>
      </c>
      <c r="C44" s="51">
        <f>IF($A44="","",VLOOKUP(EOMONTH(ValDat,-1)+1,TrendFacDump,2,FALSE)/VLOOKUP(A44,TrendFacDump,2,FALSE))</f>
        <v>1</v>
      </c>
      <c r="D44" s="66">
        <f t="shared" si="4"/>
        <v>182782.79851245074</v>
      </c>
      <c r="E44" s="66">
        <f t="shared" si="1"/>
        <v>2830.074</v>
      </c>
      <c r="F44" s="67">
        <f t="shared" si="2"/>
        <v>182782.79851245074</v>
      </c>
      <c r="G44" s="67">
        <f t="shared" si="3"/>
        <v>2830.074</v>
      </c>
      <c r="H44" s="1"/>
      <c r="I44" s="1"/>
      <c r="J44" s="1"/>
    </row>
    <row r="45" spans="1:10" ht="13.5" thickTop="1">
      <c r="A45" s="62"/>
      <c r="B45" s="7"/>
      <c r="C45" s="7"/>
      <c r="D45" s="7"/>
      <c r="E45" s="7"/>
      <c r="F45" s="71">
        <f>SUM(F9:F44)</f>
        <v>7228424.096845278</v>
      </c>
      <c r="G45" s="71">
        <f>SUM(G9:G44)</f>
        <v>104079.17000000001</v>
      </c>
      <c r="H45" s="1"/>
      <c r="I45" s="1"/>
      <c r="J45" s="1"/>
    </row>
    <row r="46" spans="1:10" ht="12.75">
      <c r="A46" s="83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83" t="s">
        <v>158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73" t="s">
        <v>139</v>
      </c>
      <c r="C48" s="141"/>
      <c r="D48" s="141"/>
      <c r="E48" s="63"/>
      <c r="F48" s="76" t="s">
        <v>3</v>
      </c>
      <c r="G48" s="1"/>
      <c r="H48" s="1"/>
      <c r="I48" s="1"/>
      <c r="J48" s="1"/>
    </row>
    <row r="49" spans="1:10" ht="12.75">
      <c r="A49" s="1"/>
      <c r="B49" s="1" t="s">
        <v>206</v>
      </c>
      <c r="C49" s="1"/>
      <c r="D49" s="1"/>
      <c r="E49" s="1"/>
      <c r="F49" s="67">
        <f>F45</f>
        <v>7228424.096845278</v>
      </c>
      <c r="G49" s="1"/>
      <c r="H49" s="1"/>
      <c r="I49" s="1" t="s">
        <v>46</v>
      </c>
      <c r="J49" s="1"/>
    </row>
    <row r="50" spans="1:10" ht="12.75">
      <c r="A50" s="1"/>
      <c r="B50" s="1" t="s">
        <v>207</v>
      </c>
      <c r="C50" s="1"/>
      <c r="D50" s="1"/>
      <c r="E50" s="1"/>
      <c r="F50" s="67">
        <f>G45</f>
        <v>104079.17000000001</v>
      </c>
      <c r="G50" s="1"/>
      <c r="H50" s="1"/>
      <c r="I50" s="1"/>
      <c r="J50" s="1"/>
    </row>
    <row r="51" spans="1:10" ht="12.75">
      <c r="A51" s="1"/>
      <c r="B51" s="1" t="s">
        <v>208</v>
      </c>
      <c r="C51" s="1"/>
      <c r="D51" s="1"/>
      <c r="E51" s="1"/>
      <c r="F51" s="64">
        <f>F45/G45</f>
        <v>69.45120812209856</v>
      </c>
      <c r="G51" s="1"/>
      <c r="H51" s="1"/>
      <c r="I51" s="1"/>
      <c r="J51" s="1" t="s">
        <v>46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5"/>
  <sheetViews>
    <sheetView zoomScale="85" zoomScaleNormal="85" workbookViewId="0" topLeftCell="A1">
      <pane ySplit="6" topLeftCell="BM7" activePane="bottomLeft" state="frozen"/>
      <selection pane="topLeft" activeCell="F34" sqref="F34"/>
      <selection pane="bottomLeft" activeCell="A9" sqref="A9"/>
    </sheetView>
  </sheetViews>
  <sheetFormatPr defaultColWidth="9.140625" defaultRowHeight="12.75"/>
  <cols>
    <col min="1" max="1" width="12.140625" style="1" customWidth="1"/>
    <col min="2" max="2" width="18.8515625" style="1" bestFit="1" customWidth="1"/>
    <col min="3" max="3" width="13.57421875" style="1" customWidth="1"/>
    <col min="4" max="16384" width="9.140625" style="1" customWidth="1"/>
  </cols>
  <sheetData>
    <row r="1" ht="18">
      <c r="A1" s="2" t="str">
        <f>title1&amp;" - Output Tab"</f>
        <v>BLOCK CLAIM LIABILITY REPORT - Output Tab</v>
      </c>
    </row>
    <row r="2" ht="15.75">
      <c r="A2" s="9" t="str">
        <f>title2</f>
        <v>The Millennium-2000 Sample Life Insurance Company</v>
      </c>
    </row>
    <row r="3" ht="15.75">
      <c r="A3" s="9" t="str">
        <f>title3</f>
        <v>Arvind</v>
      </c>
    </row>
    <row r="4" ht="15">
      <c r="A4" s="33" t="str">
        <f>title4</f>
        <v>Experience Period:  01-Aug-1998  to  31-Jul-2001.  Runout Date:  31-Jul-2001</v>
      </c>
    </row>
    <row r="5" ht="16.5" customHeight="1">
      <c r="B5" s="213"/>
    </row>
    <row r="6" spans="1:3" s="3" customFormat="1" ht="25.5">
      <c r="A6" s="14" t="s">
        <v>58</v>
      </c>
      <c r="B6" s="14" t="s">
        <v>8</v>
      </c>
      <c r="C6" s="14" t="s">
        <v>45</v>
      </c>
    </row>
    <row r="7" spans="1:3" ht="12.75">
      <c r="A7" s="194" t="s">
        <v>222</v>
      </c>
      <c r="B7" s="196" t="s">
        <v>227</v>
      </c>
      <c r="C7" s="195">
        <f>WeightedNCC0</f>
        <v>69.45120812209856</v>
      </c>
    </row>
    <row r="8" spans="1:3" ht="12.75">
      <c r="A8" s="194" t="s">
        <v>223</v>
      </c>
      <c r="B8" s="51" t="str">
        <f>UPPER(Basis)&amp;" for ExpPeriod"</f>
        <v>IBNR for ExpPeriod</v>
      </c>
      <c r="C8" s="195">
        <f>TrendedIBNR</f>
        <v>520362.66145624034</v>
      </c>
    </row>
    <row r="9" spans="1:5" ht="12.75">
      <c r="A9" s="32">
        <f aca="true" t="shared" si="0" ref="A9:A42">IF($A10="","",IF(DATE(YEAR(A10),MONTH(A10)-1,1)&lt;ExpDat,"",DATE(YEAR(A10),MONTH(A10)-1,1)))</f>
        <v>36008</v>
      </c>
      <c r="B9" s="51" t="s">
        <v>44</v>
      </c>
      <c r="C9" s="195">
        <f>IF($A9="","",INDEX(CmpFac,1+MIN(MEP,ROUND(DAYS360($A9,DATE(YEAR(ValDat),MONTH(ValDat),1),0)/30,0))))</f>
        <v>1</v>
      </c>
      <c r="D9" s="195"/>
      <c r="E9"/>
    </row>
    <row r="10" spans="1:5" ht="12.75">
      <c r="A10" s="32">
        <f t="shared" si="0"/>
        <v>36039</v>
      </c>
      <c r="B10" s="51" t="s">
        <v>43</v>
      </c>
      <c r="C10" s="195">
        <f aca="true" t="shared" si="1" ref="C10:C43">IF($A10="","",INDEX(CmpFac,1+MIN(MEP,ROUND(DAYS360($A10,ValDat,0)/30,0))))</f>
        <v>1</v>
      </c>
      <c r="E10"/>
    </row>
    <row r="11" spans="1:5" ht="12.75">
      <c r="A11" s="32">
        <f t="shared" si="0"/>
        <v>36069</v>
      </c>
      <c r="B11" s="51" t="s">
        <v>42</v>
      </c>
      <c r="C11" s="195">
        <f t="shared" si="1"/>
        <v>1</v>
      </c>
      <c r="E11"/>
    </row>
    <row r="12" spans="1:5" ht="12.75">
      <c r="A12" s="32">
        <f t="shared" si="0"/>
        <v>36100</v>
      </c>
      <c r="B12" s="51" t="s">
        <v>41</v>
      </c>
      <c r="C12" s="195">
        <f t="shared" si="1"/>
        <v>1</v>
      </c>
      <c r="E12"/>
    </row>
    <row r="13" spans="1:5" ht="12.75">
      <c r="A13" s="32">
        <f t="shared" si="0"/>
        <v>36130</v>
      </c>
      <c r="B13" s="51" t="s">
        <v>40</v>
      </c>
      <c r="C13" s="195">
        <f t="shared" si="1"/>
        <v>1</v>
      </c>
      <c r="E13"/>
    </row>
    <row r="14" spans="1:5" ht="12.75">
      <c r="A14" s="32">
        <f t="shared" si="0"/>
        <v>36161</v>
      </c>
      <c r="B14" s="51" t="s">
        <v>39</v>
      </c>
      <c r="C14" s="195">
        <f t="shared" si="1"/>
        <v>1</v>
      </c>
      <c r="E14"/>
    </row>
    <row r="15" spans="1:5" ht="12.75">
      <c r="A15" s="32">
        <f t="shared" si="0"/>
        <v>36192</v>
      </c>
      <c r="B15" s="51" t="s">
        <v>38</v>
      </c>
      <c r="C15" s="195">
        <f t="shared" si="1"/>
        <v>1</v>
      </c>
      <c r="E15"/>
    </row>
    <row r="16" spans="1:5" ht="12.75">
      <c r="A16" s="32">
        <f t="shared" si="0"/>
        <v>36220</v>
      </c>
      <c r="B16" s="51" t="s">
        <v>37</v>
      </c>
      <c r="C16" s="195">
        <f t="shared" si="1"/>
        <v>1</v>
      </c>
      <c r="E16"/>
    </row>
    <row r="17" spans="1:5" ht="12.75">
      <c r="A17" s="32">
        <f t="shared" si="0"/>
        <v>36251</v>
      </c>
      <c r="B17" s="51" t="s">
        <v>36</v>
      </c>
      <c r="C17" s="195">
        <f t="shared" si="1"/>
        <v>1</v>
      </c>
      <c r="E17"/>
    </row>
    <row r="18" spans="1:5" ht="12.75">
      <c r="A18" s="32">
        <f t="shared" si="0"/>
        <v>36281</v>
      </c>
      <c r="B18" s="51" t="s">
        <v>35</v>
      </c>
      <c r="C18" s="195">
        <f t="shared" si="1"/>
        <v>1</v>
      </c>
      <c r="E18"/>
    </row>
    <row r="19" spans="1:5" ht="12.75">
      <c r="A19" s="32">
        <f t="shared" si="0"/>
        <v>36312</v>
      </c>
      <c r="B19" s="51" t="s">
        <v>34</v>
      </c>
      <c r="C19" s="195">
        <f t="shared" si="1"/>
        <v>1</v>
      </c>
      <c r="E19"/>
    </row>
    <row r="20" spans="1:5" ht="12.75">
      <c r="A20" s="32">
        <f t="shared" si="0"/>
        <v>36342</v>
      </c>
      <c r="B20" s="51" t="s">
        <v>33</v>
      </c>
      <c r="C20" s="195">
        <f t="shared" si="1"/>
        <v>1</v>
      </c>
      <c r="E20"/>
    </row>
    <row r="21" spans="1:5" ht="12.75">
      <c r="A21" s="32">
        <f t="shared" si="0"/>
        <v>36373</v>
      </c>
      <c r="B21" s="51" t="s">
        <v>32</v>
      </c>
      <c r="C21" s="195">
        <f t="shared" si="1"/>
        <v>1</v>
      </c>
      <c r="E21"/>
    </row>
    <row r="22" spans="1:5" ht="12.75">
      <c r="A22" s="32">
        <f t="shared" si="0"/>
        <v>36404</v>
      </c>
      <c r="B22" s="51" t="s">
        <v>31</v>
      </c>
      <c r="C22" s="195">
        <f t="shared" si="1"/>
        <v>1</v>
      </c>
      <c r="E22"/>
    </row>
    <row r="23" spans="1:5" ht="12.75">
      <c r="A23" s="32">
        <f t="shared" si="0"/>
        <v>36434</v>
      </c>
      <c r="B23" s="51" t="s">
        <v>30</v>
      </c>
      <c r="C23" s="195">
        <f t="shared" si="1"/>
        <v>1</v>
      </c>
      <c r="E23"/>
    </row>
    <row r="24" spans="1:5" ht="12.75">
      <c r="A24" s="32">
        <f t="shared" si="0"/>
        <v>36465</v>
      </c>
      <c r="B24" s="51" t="s">
        <v>29</v>
      </c>
      <c r="C24" s="195">
        <f t="shared" si="1"/>
        <v>1</v>
      </c>
      <c r="E24"/>
    </row>
    <row r="25" spans="1:5" ht="12.75">
      <c r="A25" s="32">
        <f t="shared" si="0"/>
        <v>36495</v>
      </c>
      <c r="B25" s="51" t="s">
        <v>28</v>
      </c>
      <c r="C25" s="195">
        <f t="shared" si="1"/>
        <v>1</v>
      </c>
      <c r="E25"/>
    </row>
    <row r="26" spans="1:5" ht="12.75">
      <c r="A26" s="32">
        <f t="shared" si="0"/>
        <v>36526</v>
      </c>
      <c r="B26" s="51" t="s">
        <v>27</v>
      </c>
      <c r="C26" s="195">
        <f t="shared" si="1"/>
        <v>1</v>
      </c>
      <c r="E26"/>
    </row>
    <row r="27" spans="1:5" ht="12.75">
      <c r="A27" s="32">
        <f t="shared" si="0"/>
        <v>36557</v>
      </c>
      <c r="B27" s="51" t="s">
        <v>26</v>
      </c>
      <c r="C27" s="195">
        <f t="shared" si="1"/>
        <v>1</v>
      </c>
      <c r="E27"/>
    </row>
    <row r="28" spans="1:5" ht="12.75">
      <c r="A28" s="32">
        <f t="shared" si="0"/>
        <v>36586</v>
      </c>
      <c r="B28" s="51" t="s">
        <v>25</v>
      </c>
      <c r="C28" s="195">
        <f t="shared" si="1"/>
        <v>1</v>
      </c>
      <c r="E28"/>
    </row>
    <row r="29" spans="1:5" ht="12.75">
      <c r="A29" s="32">
        <f t="shared" si="0"/>
        <v>36617</v>
      </c>
      <c r="B29" s="51" t="s">
        <v>24</v>
      </c>
      <c r="C29" s="195">
        <f t="shared" si="1"/>
        <v>0.99965</v>
      </c>
      <c r="E29"/>
    </row>
    <row r="30" spans="1:5" ht="12.75">
      <c r="A30" s="32">
        <f t="shared" si="0"/>
        <v>36647</v>
      </c>
      <c r="B30" s="51" t="s">
        <v>23</v>
      </c>
      <c r="C30" s="195">
        <f t="shared" si="1"/>
        <v>0.99874</v>
      </c>
      <c r="E30"/>
    </row>
    <row r="31" spans="1:5" ht="12.75">
      <c r="A31" s="32">
        <f t="shared" si="0"/>
        <v>36678</v>
      </c>
      <c r="B31" s="51" t="s">
        <v>22</v>
      </c>
      <c r="C31" s="195">
        <f t="shared" si="1"/>
        <v>0.99492</v>
      </c>
      <c r="E31"/>
    </row>
    <row r="32" spans="1:5" ht="12.75">
      <c r="A32" s="32">
        <f t="shared" si="0"/>
        <v>36708</v>
      </c>
      <c r="B32" s="51" t="s">
        <v>21</v>
      </c>
      <c r="C32" s="195">
        <f t="shared" si="1"/>
        <v>0.99492</v>
      </c>
      <c r="E32"/>
    </row>
    <row r="33" spans="1:5" ht="12.75">
      <c r="A33" s="32">
        <f t="shared" si="0"/>
        <v>36739</v>
      </c>
      <c r="B33" s="51" t="s">
        <v>20</v>
      </c>
      <c r="C33" s="195">
        <f t="shared" si="1"/>
        <v>0.99492</v>
      </c>
      <c r="E33"/>
    </row>
    <row r="34" spans="1:5" ht="12.75">
      <c r="A34" s="32">
        <f t="shared" si="0"/>
        <v>36770</v>
      </c>
      <c r="B34" s="51" t="s">
        <v>19</v>
      </c>
      <c r="C34" s="195">
        <f t="shared" si="1"/>
        <v>0.99492</v>
      </c>
      <c r="E34"/>
    </row>
    <row r="35" spans="1:5" ht="12.75">
      <c r="A35" s="32">
        <f t="shared" si="0"/>
        <v>36800</v>
      </c>
      <c r="B35" s="51" t="s">
        <v>18</v>
      </c>
      <c r="C35" s="195">
        <f t="shared" si="1"/>
        <v>0.99332</v>
      </c>
      <c r="E35"/>
    </row>
    <row r="36" spans="1:5" ht="12.75">
      <c r="A36" s="32">
        <f t="shared" si="0"/>
        <v>36831</v>
      </c>
      <c r="B36" s="51" t="s">
        <v>17</v>
      </c>
      <c r="C36" s="195">
        <f t="shared" si="1"/>
        <v>0.99184</v>
      </c>
      <c r="E36"/>
    </row>
    <row r="37" spans="1:5" ht="12.75">
      <c r="A37" s="32">
        <f t="shared" si="0"/>
        <v>36861</v>
      </c>
      <c r="B37" s="51" t="s">
        <v>16</v>
      </c>
      <c r="C37" s="195">
        <f t="shared" si="1"/>
        <v>0.99062</v>
      </c>
      <c r="E37"/>
    </row>
    <row r="38" spans="1:5" ht="12.75">
      <c r="A38" s="32">
        <f t="shared" si="0"/>
        <v>36892</v>
      </c>
      <c r="B38" s="51" t="s">
        <v>15</v>
      </c>
      <c r="C38" s="195">
        <f t="shared" si="1"/>
        <v>0.98427</v>
      </c>
      <c r="E38"/>
    </row>
    <row r="39" spans="1:5" ht="12.75">
      <c r="A39" s="32">
        <f t="shared" si="0"/>
        <v>36923</v>
      </c>
      <c r="B39" s="51" t="s">
        <v>14</v>
      </c>
      <c r="C39" s="195">
        <f t="shared" si="1"/>
        <v>0.95502</v>
      </c>
      <c r="E39"/>
    </row>
    <row r="40" spans="1:5" ht="12.75">
      <c r="A40" s="32">
        <f t="shared" si="0"/>
        <v>36951</v>
      </c>
      <c r="B40" s="51" t="s">
        <v>13</v>
      </c>
      <c r="C40" s="195">
        <f t="shared" si="1"/>
        <v>0.9232</v>
      </c>
      <c r="E40"/>
    </row>
    <row r="41" spans="1:5" ht="12.75">
      <c r="A41" s="32">
        <f t="shared" si="0"/>
        <v>36982</v>
      </c>
      <c r="B41" s="51" t="s">
        <v>12</v>
      </c>
      <c r="C41" s="195">
        <f t="shared" si="1"/>
        <v>0.8931</v>
      </c>
      <c r="E41"/>
    </row>
    <row r="42" spans="1:5" ht="12.75">
      <c r="A42" s="32">
        <f t="shared" si="0"/>
        <v>37012</v>
      </c>
      <c r="B42" s="51" t="s">
        <v>11</v>
      </c>
      <c r="C42" s="195">
        <f t="shared" si="1"/>
        <v>0.82329</v>
      </c>
      <c r="E42"/>
    </row>
    <row r="43" spans="1:5" ht="12.75">
      <c r="A43" s="32">
        <f>IF($A44="","",IF(DATE(YEAR(A44),MONTH(A44)-1,1)&lt;ExpDat,"",DATE(YEAR(A44),MONTH(A44)-1,1)))</f>
        <v>37043</v>
      </c>
      <c r="B43" s="51" t="s">
        <v>10</v>
      </c>
      <c r="C43" s="195">
        <f t="shared" si="1"/>
        <v>0.53696</v>
      </c>
      <c r="E43"/>
    </row>
    <row r="44" spans="1:5" ht="12.75">
      <c r="A44" s="32">
        <f>ValDat</f>
        <v>37103</v>
      </c>
      <c r="B44" s="65" t="s">
        <v>9</v>
      </c>
      <c r="C44" s="195">
        <f>IF($A44="","",INDEX(CmpFac,1+MIN(MEP,ROUND(DAYS360($A44,ValDat,0)/30,0))))</f>
        <v>0.05227</v>
      </c>
      <c r="E44"/>
    </row>
    <row r="45" ht="12.75">
      <c r="A45" s="32"/>
    </row>
  </sheetData>
  <printOptions/>
  <pageMargins left="0.75" right="0.75" top="1" bottom="1" header="0.5" footer="0.5"/>
  <pageSetup blackAndWhite="1" fitToHeight="1000" fitToWidth="1" horizontalDpi="600" verticalDpi="600" orientation="portrait" scale="71" r:id="rId2"/>
  <headerFooter alignWithMargins="0">
    <oddFooter>&amp;L&amp;"Arial Narrow,Regular"&amp;9&amp;F &amp;A &amp;P / &amp;N
&amp;D &amp;T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E39"/>
  <sheetViews>
    <sheetView workbookViewId="0" topLeftCell="A1">
      <selection activeCell="A2" sqref="A2"/>
    </sheetView>
  </sheetViews>
  <sheetFormatPr defaultColWidth="9.140625" defaultRowHeight="12.75"/>
  <cols>
    <col min="5" max="5" width="9.140625" style="216" customWidth="1"/>
  </cols>
  <sheetData>
    <row r="1" spans="1:5" ht="12.75">
      <c r="A1" t="s">
        <v>232</v>
      </c>
      <c r="B1" t="s">
        <v>233</v>
      </c>
      <c r="C1" t="s">
        <v>234</v>
      </c>
      <c r="D1" t="s">
        <v>3</v>
      </c>
      <c r="E1" s="216" t="s">
        <v>129</v>
      </c>
    </row>
    <row r="2" spans="1:4" ht="12.75">
      <c r="A2">
        <v>1</v>
      </c>
      <c r="B2">
        <v>1</v>
      </c>
      <c r="C2">
        <f>'general dump'!$A$70</f>
        <v>6196</v>
      </c>
      <c r="D2">
        <f>Output!C7</f>
        <v>69.45120812209856</v>
      </c>
    </row>
    <row r="3" spans="1:4" ht="12.75">
      <c r="A3">
        <v>2</v>
      </c>
      <c r="B3">
        <v>2</v>
      </c>
      <c r="C3">
        <f>'general dump'!$A$70</f>
        <v>6196</v>
      </c>
      <c r="D3">
        <f>Output!C8</f>
        <v>520362.66145624034</v>
      </c>
    </row>
    <row r="4" spans="1:5" ht="12.75">
      <c r="A4">
        <v>3</v>
      </c>
      <c r="B4">
        <v>3</v>
      </c>
      <c r="C4">
        <f>'general dump'!$A$70</f>
        <v>6196</v>
      </c>
      <c r="D4">
        <f>Output!C9</f>
        <v>1</v>
      </c>
      <c r="E4" s="216">
        <f>Output!A9</f>
        <v>36008</v>
      </c>
    </row>
    <row r="5" spans="1:5" ht="12.75">
      <c r="A5">
        <v>4</v>
      </c>
      <c r="B5">
        <v>4</v>
      </c>
      <c r="C5">
        <f>'general dump'!$A$70</f>
        <v>6196</v>
      </c>
      <c r="D5">
        <f>Output!C10</f>
        <v>1</v>
      </c>
      <c r="E5" s="216">
        <f>Output!A10</f>
        <v>36039</v>
      </c>
    </row>
    <row r="6" spans="1:5" ht="12.75">
      <c r="A6">
        <v>5</v>
      </c>
      <c r="B6">
        <v>5</v>
      </c>
      <c r="C6">
        <f>'general dump'!$A$70</f>
        <v>6196</v>
      </c>
      <c r="D6">
        <f>Output!C11</f>
        <v>1</v>
      </c>
      <c r="E6" s="216">
        <f>Output!A11</f>
        <v>36069</v>
      </c>
    </row>
    <row r="7" spans="1:5" ht="12.75">
      <c r="A7">
        <v>6</v>
      </c>
      <c r="B7">
        <v>6</v>
      </c>
      <c r="C7">
        <f>'general dump'!$A$70</f>
        <v>6196</v>
      </c>
      <c r="D7">
        <f>Output!C12</f>
        <v>1</v>
      </c>
      <c r="E7" s="216">
        <f>Output!A12</f>
        <v>36100</v>
      </c>
    </row>
    <row r="8" spans="1:5" ht="12.75">
      <c r="A8">
        <v>7</v>
      </c>
      <c r="B8">
        <v>7</v>
      </c>
      <c r="C8">
        <f>'general dump'!$A$70</f>
        <v>6196</v>
      </c>
      <c r="D8">
        <f>Output!C13</f>
        <v>1</v>
      </c>
      <c r="E8" s="216">
        <f>Output!A13</f>
        <v>36130</v>
      </c>
    </row>
    <row r="9" spans="1:5" ht="12.75">
      <c r="A9">
        <v>8</v>
      </c>
      <c r="B9">
        <v>8</v>
      </c>
      <c r="C9">
        <f>'general dump'!$A$70</f>
        <v>6196</v>
      </c>
      <c r="D9">
        <f>Output!C14</f>
        <v>1</v>
      </c>
      <c r="E9" s="216">
        <f>Output!A14</f>
        <v>36161</v>
      </c>
    </row>
    <row r="10" spans="1:5" ht="12.75">
      <c r="A10">
        <v>9</v>
      </c>
      <c r="B10">
        <v>9</v>
      </c>
      <c r="C10">
        <f>'general dump'!$A$70</f>
        <v>6196</v>
      </c>
      <c r="D10">
        <f>Output!C15</f>
        <v>1</v>
      </c>
      <c r="E10" s="216">
        <f>Output!A15</f>
        <v>36192</v>
      </c>
    </row>
    <row r="11" spans="1:5" ht="12.75">
      <c r="A11">
        <v>10</v>
      </c>
      <c r="B11">
        <v>10</v>
      </c>
      <c r="C11">
        <f>'general dump'!$A$70</f>
        <v>6196</v>
      </c>
      <c r="D11">
        <f>Output!C16</f>
        <v>1</v>
      </c>
      <c r="E11" s="216">
        <f>Output!A16</f>
        <v>36220</v>
      </c>
    </row>
    <row r="12" spans="1:5" ht="12.75">
      <c r="A12">
        <v>11</v>
      </c>
      <c r="B12">
        <v>11</v>
      </c>
      <c r="C12">
        <f>'general dump'!$A$70</f>
        <v>6196</v>
      </c>
      <c r="D12">
        <f>Output!C17</f>
        <v>1</v>
      </c>
      <c r="E12" s="216">
        <f>Output!A17</f>
        <v>36251</v>
      </c>
    </row>
    <row r="13" spans="1:5" ht="12.75">
      <c r="A13">
        <v>12</v>
      </c>
      <c r="B13">
        <v>12</v>
      </c>
      <c r="C13">
        <f>'general dump'!$A$70</f>
        <v>6196</v>
      </c>
      <c r="D13">
        <f>Output!C18</f>
        <v>1</v>
      </c>
      <c r="E13" s="216">
        <f>Output!A18</f>
        <v>36281</v>
      </c>
    </row>
    <row r="14" spans="1:5" ht="12.75">
      <c r="A14">
        <v>13</v>
      </c>
      <c r="B14">
        <v>13</v>
      </c>
      <c r="C14">
        <f>'general dump'!$A$70</f>
        <v>6196</v>
      </c>
      <c r="D14">
        <f>Output!C19</f>
        <v>1</v>
      </c>
      <c r="E14" s="216">
        <f>Output!A19</f>
        <v>36312</v>
      </c>
    </row>
    <row r="15" spans="1:5" ht="12.75">
      <c r="A15">
        <v>14</v>
      </c>
      <c r="B15">
        <v>14</v>
      </c>
      <c r="C15">
        <f>'general dump'!$A$70</f>
        <v>6196</v>
      </c>
      <c r="D15">
        <f>Output!C20</f>
        <v>1</v>
      </c>
      <c r="E15" s="216">
        <f>Output!A20</f>
        <v>36342</v>
      </c>
    </row>
    <row r="16" spans="1:5" ht="12.75">
      <c r="A16">
        <v>15</v>
      </c>
      <c r="B16">
        <v>15</v>
      </c>
      <c r="C16">
        <f>'general dump'!$A$70</f>
        <v>6196</v>
      </c>
      <c r="D16">
        <f>Output!C21</f>
        <v>1</v>
      </c>
      <c r="E16" s="216">
        <f>Output!A21</f>
        <v>36373</v>
      </c>
    </row>
    <row r="17" spans="1:5" ht="12.75">
      <c r="A17">
        <v>16</v>
      </c>
      <c r="B17">
        <v>16</v>
      </c>
      <c r="C17">
        <f>'general dump'!$A$70</f>
        <v>6196</v>
      </c>
      <c r="D17">
        <f>Output!C22</f>
        <v>1</v>
      </c>
      <c r="E17" s="216">
        <f>Output!A22</f>
        <v>36404</v>
      </c>
    </row>
    <row r="18" spans="1:5" ht="12.75">
      <c r="A18">
        <v>17</v>
      </c>
      <c r="B18">
        <v>17</v>
      </c>
      <c r="C18">
        <f>'general dump'!$A$70</f>
        <v>6196</v>
      </c>
      <c r="D18">
        <f>Output!C23</f>
        <v>1</v>
      </c>
      <c r="E18" s="216">
        <f>Output!A23</f>
        <v>36434</v>
      </c>
    </row>
    <row r="19" spans="1:5" ht="12.75">
      <c r="A19">
        <v>18</v>
      </c>
      <c r="B19">
        <v>18</v>
      </c>
      <c r="C19">
        <f>'general dump'!$A$70</f>
        <v>6196</v>
      </c>
      <c r="D19">
        <f>Output!C24</f>
        <v>1</v>
      </c>
      <c r="E19" s="216">
        <f>Output!A24</f>
        <v>36465</v>
      </c>
    </row>
    <row r="20" spans="1:5" ht="12.75">
      <c r="A20">
        <v>19</v>
      </c>
      <c r="B20">
        <v>19</v>
      </c>
      <c r="C20">
        <f>'general dump'!$A$70</f>
        <v>6196</v>
      </c>
      <c r="D20">
        <f>Output!C25</f>
        <v>1</v>
      </c>
      <c r="E20" s="216">
        <f>Output!A25</f>
        <v>36495</v>
      </c>
    </row>
    <row r="21" spans="1:5" ht="12.75">
      <c r="A21">
        <v>20</v>
      </c>
      <c r="B21">
        <v>20</v>
      </c>
      <c r="C21">
        <f>'general dump'!$A$70</f>
        <v>6196</v>
      </c>
      <c r="D21">
        <f>Output!C26</f>
        <v>1</v>
      </c>
      <c r="E21" s="216">
        <f>Output!A26</f>
        <v>36526</v>
      </c>
    </row>
    <row r="22" spans="1:5" ht="12.75">
      <c r="A22">
        <v>21</v>
      </c>
      <c r="B22">
        <v>21</v>
      </c>
      <c r="C22">
        <f>'general dump'!$A$70</f>
        <v>6196</v>
      </c>
      <c r="D22">
        <f>Output!C27</f>
        <v>1</v>
      </c>
      <c r="E22" s="216">
        <f>Output!A27</f>
        <v>36557</v>
      </c>
    </row>
    <row r="23" spans="1:5" ht="12.75">
      <c r="A23">
        <v>22</v>
      </c>
      <c r="B23">
        <v>22</v>
      </c>
      <c r="C23">
        <f>'general dump'!$A$70</f>
        <v>6196</v>
      </c>
      <c r="D23">
        <f>Output!C28</f>
        <v>1</v>
      </c>
      <c r="E23" s="216">
        <f>Output!A28</f>
        <v>36586</v>
      </c>
    </row>
    <row r="24" spans="1:5" ht="12.75">
      <c r="A24">
        <v>23</v>
      </c>
      <c r="B24">
        <v>23</v>
      </c>
      <c r="C24">
        <f>'general dump'!$A$70</f>
        <v>6196</v>
      </c>
      <c r="D24">
        <f>Output!C29</f>
        <v>0.99965</v>
      </c>
      <c r="E24" s="216">
        <f>Output!A29</f>
        <v>36617</v>
      </c>
    </row>
    <row r="25" spans="1:5" ht="12.75">
      <c r="A25">
        <v>24</v>
      </c>
      <c r="B25">
        <v>24</v>
      </c>
      <c r="C25">
        <f>'general dump'!$A$70</f>
        <v>6196</v>
      </c>
      <c r="D25">
        <f>Output!C30</f>
        <v>0.99874</v>
      </c>
      <c r="E25" s="216">
        <f>Output!A30</f>
        <v>36647</v>
      </c>
    </row>
    <row r="26" spans="1:5" ht="12.75">
      <c r="A26">
        <v>25</v>
      </c>
      <c r="B26">
        <v>25</v>
      </c>
      <c r="C26">
        <f>'general dump'!$A$70</f>
        <v>6196</v>
      </c>
      <c r="D26">
        <f>Output!C31</f>
        <v>0.99492</v>
      </c>
      <c r="E26" s="216">
        <f>Output!A31</f>
        <v>36678</v>
      </c>
    </row>
    <row r="27" spans="1:5" ht="12.75">
      <c r="A27">
        <v>26</v>
      </c>
      <c r="B27">
        <v>26</v>
      </c>
      <c r="C27">
        <f>'general dump'!$A$70</f>
        <v>6196</v>
      </c>
      <c r="D27">
        <f>Output!C32</f>
        <v>0.99492</v>
      </c>
      <c r="E27" s="216">
        <f>Output!A32</f>
        <v>36708</v>
      </c>
    </row>
    <row r="28" spans="1:5" ht="12.75">
      <c r="A28">
        <v>27</v>
      </c>
      <c r="B28">
        <v>27</v>
      </c>
      <c r="C28">
        <f>'general dump'!$A$70</f>
        <v>6196</v>
      </c>
      <c r="D28">
        <f>Output!C33</f>
        <v>0.99492</v>
      </c>
      <c r="E28" s="216">
        <f>Output!A33</f>
        <v>36739</v>
      </c>
    </row>
    <row r="29" spans="1:5" ht="12.75">
      <c r="A29">
        <v>28</v>
      </c>
      <c r="B29">
        <v>28</v>
      </c>
      <c r="C29">
        <f>'general dump'!$A$70</f>
        <v>6196</v>
      </c>
      <c r="D29">
        <f>Output!C34</f>
        <v>0.99492</v>
      </c>
      <c r="E29" s="216">
        <f>Output!A34</f>
        <v>36770</v>
      </c>
    </row>
    <row r="30" spans="1:5" ht="12.75">
      <c r="A30">
        <v>29</v>
      </c>
      <c r="B30">
        <v>29</v>
      </c>
      <c r="C30">
        <f>'general dump'!$A$70</f>
        <v>6196</v>
      </c>
      <c r="D30">
        <f>Output!C35</f>
        <v>0.99332</v>
      </c>
      <c r="E30" s="216">
        <f>Output!A35</f>
        <v>36800</v>
      </c>
    </row>
    <row r="31" spans="1:5" ht="12.75">
      <c r="A31">
        <v>30</v>
      </c>
      <c r="B31">
        <v>30</v>
      </c>
      <c r="C31">
        <f>'general dump'!$A$70</f>
        <v>6196</v>
      </c>
      <c r="D31">
        <f>Output!C36</f>
        <v>0.99184</v>
      </c>
      <c r="E31" s="216">
        <f>Output!A36</f>
        <v>36831</v>
      </c>
    </row>
    <row r="32" spans="1:5" ht="12.75">
      <c r="A32">
        <v>31</v>
      </c>
      <c r="B32">
        <v>31</v>
      </c>
      <c r="C32">
        <f>'general dump'!$A$70</f>
        <v>6196</v>
      </c>
      <c r="D32">
        <f>Output!C37</f>
        <v>0.99062</v>
      </c>
      <c r="E32" s="216">
        <f>Output!A37</f>
        <v>36861</v>
      </c>
    </row>
    <row r="33" spans="1:5" ht="12.75">
      <c r="A33">
        <v>32</v>
      </c>
      <c r="B33">
        <v>32</v>
      </c>
      <c r="C33">
        <f>'general dump'!$A$70</f>
        <v>6196</v>
      </c>
      <c r="D33">
        <f>Output!C38</f>
        <v>0.98427</v>
      </c>
      <c r="E33" s="216">
        <f>Output!A38</f>
        <v>36892</v>
      </c>
    </row>
    <row r="34" spans="1:5" ht="12.75">
      <c r="A34">
        <v>33</v>
      </c>
      <c r="B34">
        <v>33</v>
      </c>
      <c r="C34">
        <f>'general dump'!$A$70</f>
        <v>6196</v>
      </c>
      <c r="D34">
        <f>Output!C39</f>
        <v>0.95502</v>
      </c>
      <c r="E34" s="216">
        <f>Output!A39</f>
        <v>36923</v>
      </c>
    </row>
    <row r="35" spans="1:5" ht="12.75">
      <c r="A35">
        <v>34</v>
      </c>
      <c r="B35">
        <v>34</v>
      </c>
      <c r="C35">
        <f>'general dump'!$A$70</f>
        <v>6196</v>
      </c>
      <c r="D35">
        <f>Output!C40</f>
        <v>0.9232</v>
      </c>
      <c r="E35" s="216">
        <f>Output!A40</f>
        <v>36951</v>
      </c>
    </row>
    <row r="36" spans="1:5" ht="12.75">
      <c r="A36">
        <v>35</v>
      </c>
      <c r="B36">
        <v>35</v>
      </c>
      <c r="C36">
        <f>'general dump'!$A$70</f>
        <v>6196</v>
      </c>
      <c r="D36">
        <f>Output!C41</f>
        <v>0.8931</v>
      </c>
      <c r="E36" s="216">
        <f>Output!A41</f>
        <v>36982</v>
      </c>
    </row>
    <row r="37" spans="1:5" ht="12.75">
      <c r="A37">
        <v>36</v>
      </c>
      <c r="B37">
        <v>36</v>
      </c>
      <c r="C37">
        <f>'general dump'!$A$70</f>
        <v>6196</v>
      </c>
      <c r="D37">
        <f>Output!C42</f>
        <v>0.82329</v>
      </c>
      <c r="E37" s="216">
        <f>Output!A42</f>
        <v>37012</v>
      </c>
    </row>
    <row r="38" spans="1:5" ht="12.75">
      <c r="A38">
        <v>37</v>
      </c>
      <c r="B38">
        <v>37</v>
      </c>
      <c r="C38">
        <f>'general dump'!$A$70</f>
        <v>6196</v>
      </c>
      <c r="D38">
        <f>Output!C43</f>
        <v>0.53696</v>
      </c>
      <c r="E38" s="216">
        <f>Output!A43</f>
        <v>37043</v>
      </c>
    </row>
    <row r="39" spans="1:5" ht="12.75">
      <c r="A39">
        <v>38</v>
      </c>
      <c r="B39">
        <v>38</v>
      </c>
      <c r="C39">
        <f>'general dump'!$A$70</f>
        <v>6196</v>
      </c>
      <c r="D39">
        <f>Output!C44</f>
        <v>0.05227</v>
      </c>
      <c r="E39" s="216">
        <f>Output!A44</f>
        <v>37103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2:AM39"/>
  <sheetViews>
    <sheetView zoomScale="80" zoomScaleNormal="80" workbookViewId="0" topLeftCell="A1">
      <selection activeCell="F34" sqref="F34"/>
    </sheetView>
  </sheetViews>
  <sheetFormatPr defaultColWidth="9.140625" defaultRowHeight="12.75"/>
  <cols>
    <col min="1" max="1" width="2.7109375" style="49" customWidth="1"/>
    <col min="2" max="2" width="15.8515625" style="49" bestFit="1" customWidth="1"/>
    <col min="3" max="3" width="9.28125" style="49" bestFit="1" customWidth="1"/>
    <col min="4" max="5" width="10.57421875" style="49" bestFit="1" customWidth="1"/>
    <col min="6" max="38" width="9.28125" style="49" bestFit="1" customWidth="1"/>
    <col min="39" max="16384" width="9.140625" style="49" customWidth="1"/>
  </cols>
  <sheetData>
    <row r="2" spans="1:39" s="54" customFormat="1" ht="11.25">
      <c r="A2" s="203"/>
      <c r="B2" s="56" t="s">
        <v>128</v>
      </c>
      <c r="C2" s="55" t="s">
        <v>92</v>
      </c>
      <c r="D2" s="55" t="s">
        <v>93</v>
      </c>
      <c r="E2" s="55" t="s">
        <v>94</v>
      </c>
      <c r="F2" s="55" t="s">
        <v>95</v>
      </c>
      <c r="G2" s="55" t="s">
        <v>96</v>
      </c>
      <c r="H2" s="55" t="s">
        <v>97</v>
      </c>
      <c r="I2" s="55" t="s">
        <v>98</v>
      </c>
      <c r="J2" s="55" t="s">
        <v>99</v>
      </c>
      <c r="K2" s="55" t="s">
        <v>100</v>
      </c>
      <c r="L2" s="55" t="s">
        <v>101</v>
      </c>
      <c r="M2" s="55" t="s">
        <v>102</v>
      </c>
      <c r="N2" s="55" t="s">
        <v>103</v>
      </c>
      <c r="O2" s="55" t="s">
        <v>104</v>
      </c>
      <c r="P2" s="55" t="s">
        <v>105</v>
      </c>
      <c r="Q2" s="55" t="s">
        <v>106</v>
      </c>
      <c r="R2" s="55" t="s">
        <v>107</v>
      </c>
      <c r="S2" s="55" t="s">
        <v>108</v>
      </c>
      <c r="T2" s="55" t="s">
        <v>109</v>
      </c>
      <c r="U2" s="55" t="s">
        <v>110</v>
      </c>
      <c r="V2" s="55" t="s">
        <v>111</v>
      </c>
      <c r="W2" s="55" t="s">
        <v>112</v>
      </c>
      <c r="X2" s="55" t="s">
        <v>113</v>
      </c>
      <c r="Y2" s="55" t="s">
        <v>114</v>
      </c>
      <c r="Z2" s="55" t="s">
        <v>115</v>
      </c>
      <c r="AA2" s="55" t="s">
        <v>116</v>
      </c>
      <c r="AB2" s="55" t="s">
        <v>117</v>
      </c>
      <c r="AC2" s="55" t="s">
        <v>118</v>
      </c>
      <c r="AD2" s="55" t="s">
        <v>119</v>
      </c>
      <c r="AE2" s="55" t="s">
        <v>120</v>
      </c>
      <c r="AF2" s="55" t="s">
        <v>121</v>
      </c>
      <c r="AG2" s="55" t="s">
        <v>122</v>
      </c>
      <c r="AH2" s="55" t="s">
        <v>123</v>
      </c>
      <c r="AI2" s="55" t="s">
        <v>124</v>
      </c>
      <c r="AJ2" s="55" t="s">
        <v>125</v>
      </c>
      <c r="AK2" s="55" t="s">
        <v>126</v>
      </c>
      <c r="AL2" s="55" t="s">
        <v>127</v>
      </c>
      <c r="AM2" s="206"/>
    </row>
    <row r="3" spans="1:39" ht="12.75">
      <c r="A3" s="204"/>
      <c r="B3" s="208">
        <v>36008</v>
      </c>
      <c r="C3" s="209">
        <v>25147</v>
      </c>
      <c r="D3" s="209">
        <v>74072</v>
      </c>
      <c r="E3" s="209">
        <v>0</v>
      </c>
      <c r="F3" s="209">
        <v>0</v>
      </c>
      <c r="G3" s="209">
        <v>0</v>
      </c>
      <c r="H3" s="209">
        <v>0</v>
      </c>
      <c r="I3" s="209">
        <v>0</v>
      </c>
      <c r="J3" s="209">
        <v>0</v>
      </c>
      <c r="K3" s="209">
        <v>0</v>
      </c>
      <c r="L3" s="209">
        <v>0</v>
      </c>
      <c r="M3" s="209">
        <v>0</v>
      </c>
      <c r="N3" s="209">
        <v>0</v>
      </c>
      <c r="O3" s="209">
        <v>0</v>
      </c>
      <c r="P3" s="209">
        <v>0</v>
      </c>
      <c r="Q3" s="209">
        <v>0</v>
      </c>
      <c r="R3" s="209">
        <v>0</v>
      </c>
      <c r="S3" s="209">
        <v>0</v>
      </c>
      <c r="T3" s="209">
        <v>0</v>
      </c>
      <c r="U3" s="209">
        <v>0</v>
      </c>
      <c r="V3" s="209">
        <v>0</v>
      </c>
      <c r="W3" s="209">
        <v>0</v>
      </c>
      <c r="X3" s="209">
        <v>0</v>
      </c>
      <c r="Y3" s="209">
        <v>0</v>
      </c>
      <c r="Z3" s="209">
        <v>0</v>
      </c>
      <c r="AA3" s="209">
        <v>0</v>
      </c>
      <c r="AB3" s="209">
        <v>0</v>
      </c>
      <c r="AC3" s="209">
        <v>0</v>
      </c>
      <c r="AD3" s="209">
        <v>0</v>
      </c>
      <c r="AE3" s="209">
        <v>0</v>
      </c>
      <c r="AF3" s="209">
        <v>0</v>
      </c>
      <c r="AG3" s="209">
        <v>0</v>
      </c>
      <c r="AH3" s="209">
        <v>0</v>
      </c>
      <c r="AI3" s="209">
        <v>0</v>
      </c>
      <c r="AJ3" s="209">
        <v>0</v>
      </c>
      <c r="AK3" s="209">
        <v>0</v>
      </c>
      <c r="AL3" s="209">
        <v>0</v>
      </c>
      <c r="AM3" s="207" t="s">
        <v>238</v>
      </c>
    </row>
    <row r="4" spans="1:39" ht="12.75">
      <c r="A4" s="204"/>
      <c r="B4" s="208">
        <v>36039</v>
      </c>
      <c r="C4" s="209">
        <v>31253</v>
      </c>
      <c r="D4" s="209">
        <v>67966</v>
      </c>
      <c r="E4" s="209">
        <v>0</v>
      </c>
      <c r="F4" s="209">
        <v>0</v>
      </c>
      <c r="G4" s="209">
        <v>0</v>
      </c>
      <c r="H4" s="209">
        <v>0</v>
      </c>
      <c r="I4" s="209">
        <v>0</v>
      </c>
      <c r="J4" s="209">
        <v>0</v>
      </c>
      <c r="K4" s="209">
        <v>0</v>
      </c>
      <c r="L4" s="209">
        <v>0</v>
      </c>
      <c r="M4" s="209">
        <v>0</v>
      </c>
      <c r="N4" s="209">
        <v>0</v>
      </c>
      <c r="O4" s="209">
        <v>0</v>
      </c>
      <c r="P4" s="209">
        <v>0</v>
      </c>
      <c r="Q4" s="209">
        <v>0</v>
      </c>
      <c r="R4" s="209">
        <v>0</v>
      </c>
      <c r="S4" s="209">
        <v>0</v>
      </c>
      <c r="T4" s="209">
        <v>0</v>
      </c>
      <c r="U4" s="209">
        <v>0</v>
      </c>
      <c r="V4" s="209">
        <v>0</v>
      </c>
      <c r="W4" s="209">
        <v>0</v>
      </c>
      <c r="X4" s="209">
        <v>0</v>
      </c>
      <c r="Y4" s="209">
        <v>0</v>
      </c>
      <c r="Z4" s="209">
        <v>0</v>
      </c>
      <c r="AA4" s="209">
        <v>0</v>
      </c>
      <c r="AB4" s="209">
        <v>0</v>
      </c>
      <c r="AC4" s="209">
        <v>0</v>
      </c>
      <c r="AD4" s="209">
        <v>0</v>
      </c>
      <c r="AE4" s="209">
        <v>0</v>
      </c>
      <c r="AF4" s="209">
        <v>0</v>
      </c>
      <c r="AG4" s="209">
        <v>0</v>
      </c>
      <c r="AH4" s="209">
        <v>0</v>
      </c>
      <c r="AI4" s="209">
        <v>0</v>
      </c>
      <c r="AJ4" s="209">
        <v>0</v>
      </c>
      <c r="AK4" s="209">
        <v>0</v>
      </c>
      <c r="AL4" s="209">
        <v>0</v>
      </c>
      <c r="AM4" s="207" t="s">
        <v>237</v>
      </c>
    </row>
    <row r="5" spans="1:39" ht="12.75">
      <c r="A5" s="204"/>
      <c r="B5" s="208">
        <v>36069</v>
      </c>
      <c r="C5" s="209">
        <v>30186</v>
      </c>
      <c r="D5" s="209">
        <v>157846</v>
      </c>
      <c r="E5" s="209">
        <v>54319</v>
      </c>
      <c r="F5" s="209">
        <v>49663</v>
      </c>
      <c r="G5" s="209">
        <v>0</v>
      </c>
      <c r="H5" s="209">
        <v>0</v>
      </c>
      <c r="I5" s="209">
        <v>0</v>
      </c>
      <c r="J5" s="209">
        <v>0</v>
      </c>
      <c r="K5" s="209">
        <v>0</v>
      </c>
      <c r="L5" s="209">
        <v>0</v>
      </c>
      <c r="M5" s="209">
        <v>0</v>
      </c>
      <c r="N5" s="209">
        <v>0</v>
      </c>
      <c r="O5" s="209">
        <v>0</v>
      </c>
      <c r="P5" s="209">
        <v>0</v>
      </c>
      <c r="Q5" s="209">
        <v>0</v>
      </c>
      <c r="R5" s="209">
        <v>0</v>
      </c>
      <c r="S5" s="209">
        <v>0</v>
      </c>
      <c r="T5" s="209">
        <v>0</v>
      </c>
      <c r="U5" s="209">
        <v>0</v>
      </c>
      <c r="V5" s="209">
        <v>0</v>
      </c>
      <c r="W5" s="209">
        <v>0</v>
      </c>
      <c r="X5" s="209">
        <v>0</v>
      </c>
      <c r="Y5" s="209">
        <v>0</v>
      </c>
      <c r="Z5" s="209">
        <v>0</v>
      </c>
      <c r="AA5" s="209">
        <v>0</v>
      </c>
      <c r="AB5" s="209">
        <v>0</v>
      </c>
      <c r="AC5" s="209">
        <v>0</v>
      </c>
      <c r="AD5" s="209">
        <v>0</v>
      </c>
      <c r="AE5" s="209">
        <v>0</v>
      </c>
      <c r="AF5" s="209">
        <v>0</v>
      </c>
      <c r="AG5" s="209">
        <v>0</v>
      </c>
      <c r="AH5" s="209">
        <v>0</v>
      </c>
      <c r="AI5" s="209">
        <v>0</v>
      </c>
      <c r="AJ5" s="209">
        <v>0</v>
      </c>
      <c r="AK5" s="209">
        <v>0</v>
      </c>
      <c r="AL5" s="209">
        <v>0</v>
      </c>
      <c r="AM5" s="207" t="s">
        <v>238</v>
      </c>
    </row>
    <row r="6" spans="1:39" ht="12.75">
      <c r="A6" s="204"/>
      <c r="B6" s="208">
        <v>36100</v>
      </c>
      <c r="C6" s="209">
        <v>49927</v>
      </c>
      <c r="D6" s="209">
        <v>140535</v>
      </c>
      <c r="E6" s="209">
        <v>51889</v>
      </c>
      <c r="F6" s="209">
        <v>49663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09">
        <v>0</v>
      </c>
      <c r="N6" s="209">
        <v>0</v>
      </c>
      <c r="O6" s="209">
        <v>0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9">
        <v>0</v>
      </c>
      <c r="V6" s="209">
        <v>0</v>
      </c>
      <c r="W6" s="209">
        <v>0</v>
      </c>
      <c r="X6" s="209">
        <v>0</v>
      </c>
      <c r="Y6" s="209">
        <v>0</v>
      </c>
      <c r="Z6" s="209">
        <v>0</v>
      </c>
      <c r="AA6" s="209">
        <v>0</v>
      </c>
      <c r="AB6" s="209">
        <v>0</v>
      </c>
      <c r="AC6" s="209">
        <v>0</v>
      </c>
      <c r="AD6" s="209">
        <v>0</v>
      </c>
      <c r="AE6" s="209">
        <v>0</v>
      </c>
      <c r="AF6" s="209">
        <v>0</v>
      </c>
      <c r="AG6" s="209">
        <v>0</v>
      </c>
      <c r="AH6" s="209">
        <v>0</v>
      </c>
      <c r="AI6" s="209">
        <v>0</v>
      </c>
      <c r="AJ6" s="209">
        <v>0</v>
      </c>
      <c r="AK6" s="209">
        <v>0</v>
      </c>
      <c r="AL6" s="209">
        <v>0</v>
      </c>
      <c r="AM6" s="207" t="s">
        <v>237</v>
      </c>
    </row>
    <row r="7" spans="1:39" ht="12.75">
      <c r="A7" s="204"/>
      <c r="B7" s="208">
        <v>36130</v>
      </c>
      <c r="C7" s="209">
        <v>6022</v>
      </c>
      <c r="D7" s="209">
        <v>55145</v>
      </c>
      <c r="E7" s="209">
        <v>17920</v>
      </c>
      <c r="F7" s="209">
        <v>25255</v>
      </c>
      <c r="G7" s="209">
        <v>5019</v>
      </c>
      <c r="H7" s="209">
        <v>402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9">
        <v>0</v>
      </c>
      <c r="V7" s="209">
        <v>0</v>
      </c>
      <c r="W7" s="209">
        <v>0</v>
      </c>
      <c r="X7" s="209">
        <v>0</v>
      </c>
      <c r="Y7" s="209">
        <v>0</v>
      </c>
      <c r="Z7" s="209">
        <v>0</v>
      </c>
      <c r="AA7" s="209">
        <v>0</v>
      </c>
      <c r="AB7" s="209">
        <v>0</v>
      </c>
      <c r="AC7" s="209">
        <v>0</v>
      </c>
      <c r="AD7" s="209">
        <v>0</v>
      </c>
      <c r="AE7" s="209">
        <v>0</v>
      </c>
      <c r="AF7" s="209">
        <v>0</v>
      </c>
      <c r="AG7" s="209">
        <v>0</v>
      </c>
      <c r="AH7" s="209">
        <v>0</v>
      </c>
      <c r="AI7" s="209">
        <v>0</v>
      </c>
      <c r="AJ7" s="209">
        <v>0</v>
      </c>
      <c r="AK7" s="209">
        <v>0</v>
      </c>
      <c r="AL7" s="209">
        <v>0</v>
      </c>
      <c r="AM7" s="207" t="s">
        <v>238</v>
      </c>
    </row>
    <row r="8" spans="1:39" ht="12.75">
      <c r="A8" s="204"/>
      <c r="B8" s="208">
        <v>36161</v>
      </c>
      <c r="C8" s="209">
        <v>31494</v>
      </c>
      <c r="D8" s="209">
        <v>39304</v>
      </c>
      <c r="E8" s="209">
        <v>24477</v>
      </c>
      <c r="F8" s="209">
        <v>9937</v>
      </c>
      <c r="G8" s="209">
        <v>4149</v>
      </c>
      <c r="H8" s="209">
        <v>402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>
        <v>0</v>
      </c>
      <c r="AK8" s="209">
        <v>0</v>
      </c>
      <c r="AL8" s="209">
        <v>0</v>
      </c>
      <c r="AM8" s="207" t="s">
        <v>237</v>
      </c>
    </row>
    <row r="9" spans="1:39" ht="12.75">
      <c r="A9" s="204"/>
      <c r="B9" s="208">
        <v>36192</v>
      </c>
      <c r="C9" s="209">
        <v>13659</v>
      </c>
      <c r="D9" s="209">
        <v>80920</v>
      </c>
      <c r="E9" s="209">
        <v>40769</v>
      </c>
      <c r="F9" s="209">
        <v>15086</v>
      </c>
      <c r="G9" s="209">
        <v>8570</v>
      </c>
      <c r="H9" s="209">
        <v>4171</v>
      </c>
      <c r="I9" s="209">
        <v>913</v>
      </c>
      <c r="J9" s="209">
        <v>593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209"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>
        <v>0</v>
      </c>
      <c r="AK9" s="209">
        <v>0</v>
      </c>
      <c r="AL9" s="209">
        <v>0</v>
      </c>
      <c r="AM9" s="207" t="s">
        <v>238</v>
      </c>
    </row>
    <row r="10" spans="1:39" ht="12.75">
      <c r="A10" s="204"/>
      <c r="B10" s="208">
        <v>36220</v>
      </c>
      <c r="C10" s="209">
        <v>57935</v>
      </c>
      <c r="D10" s="209">
        <v>68120</v>
      </c>
      <c r="E10" s="209">
        <v>13660</v>
      </c>
      <c r="F10" s="209">
        <v>10719</v>
      </c>
      <c r="G10" s="209">
        <v>11697</v>
      </c>
      <c r="H10" s="209">
        <v>1703</v>
      </c>
      <c r="I10" s="209">
        <v>254</v>
      </c>
      <c r="J10" s="209">
        <v>593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>
        <v>0</v>
      </c>
      <c r="AK10" s="209">
        <v>0</v>
      </c>
      <c r="AL10" s="209">
        <v>0</v>
      </c>
      <c r="AM10" s="207" t="s">
        <v>237</v>
      </c>
    </row>
    <row r="11" spans="1:39" ht="12.75">
      <c r="A11" s="204"/>
      <c r="B11" s="208">
        <v>36251</v>
      </c>
      <c r="C11" s="209">
        <v>16933</v>
      </c>
      <c r="D11" s="209">
        <v>64705</v>
      </c>
      <c r="E11" s="209">
        <v>35845</v>
      </c>
      <c r="F11" s="209">
        <v>36513</v>
      </c>
      <c r="G11" s="209">
        <v>13434</v>
      </c>
      <c r="H11" s="209">
        <v>1335</v>
      </c>
      <c r="I11" s="209">
        <v>1739</v>
      </c>
      <c r="J11" s="209">
        <v>150</v>
      </c>
      <c r="K11" s="209">
        <v>64</v>
      </c>
      <c r="L11" s="209">
        <v>1055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>
        <v>0</v>
      </c>
      <c r="AK11" s="209">
        <v>0</v>
      </c>
      <c r="AL11" s="209">
        <v>0</v>
      </c>
      <c r="AM11" s="207" t="s">
        <v>238</v>
      </c>
    </row>
    <row r="12" spans="1:39" ht="12.75">
      <c r="A12" s="204"/>
      <c r="B12" s="208">
        <v>36281</v>
      </c>
      <c r="C12" s="209">
        <v>36127</v>
      </c>
      <c r="D12" s="209">
        <v>62953</v>
      </c>
      <c r="E12" s="209">
        <v>22027</v>
      </c>
      <c r="F12" s="209">
        <v>34250</v>
      </c>
      <c r="G12" s="209">
        <v>12905</v>
      </c>
      <c r="H12" s="209">
        <v>1541</v>
      </c>
      <c r="I12" s="209">
        <v>701</v>
      </c>
      <c r="J12" s="209">
        <v>150</v>
      </c>
      <c r="K12" s="209">
        <v>64</v>
      </c>
      <c r="L12" s="209">
        <v>1055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09">
        <v>0</v>
      </c>
      <c r="AA12" s="209">
        <v>0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  <c r="AL12" s="209">
        <v>0</v>
      </c>
      <c r="AM12" s="207" t="s">
        <v>237</v>
      </c>
    </row>
    <row r="13" spans="1:39" ht="12.75">
      <c r="A13" s="204"/>
      <c r="B13" s="208">
        <v>36312</v>
      </c>
      <c r="C13" s="209">
        <v>16631</v>
      </c>
      <c r="D13" s="209">
        <v>145028</v>
      </c>
      <c r="E13" s="209">
        <v>48307</v>
      </c>
      <c r="F13" s="209">
        <v>6744</v>
      </c>
      <c r="G13" s="209">
        <v>43499</v>
      </c>
      <c r="H13" s="209">
        <v>10999</v>
      </c>
      <c r="I13" s="209">
        <v>6831</v>
      </c>
      <c r="J13" s="209">
        <v>14862</v>
      </c>
      <c r="K13" s="209">
        <v>638</v>
      </c>
      <c r="L13" s="209">
        <v>86</v>
      </c>
      <c r="M13" s="209">
        <v>0</v>
      </c>
      <c r="N13" s="209">
        <v>420</v>
      </c>
      <c r="O13" s="209">
        <v>0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  <c r="W13" s="209">
        <v>0</v>
      </c>
      <c r="X13" s="209">
        <v>0</v>
      </c>
      <c r="Y13" s="209">
        <v>0</v>
      </c>
      <c r="Z13" s="209">
        <v>0</v>
      </c>
      <c r="AA13" s="209">
        <v>0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  <c r="AL13" s="209">
        <v>0</v>
      </c>
      <c r="AM13" s="207" t="s">
        <v>238</v>
      </c>
    </row>
    <row r="14" spans="1:39" ht="12.75">
      <c r="A14" s="204"/>
      <c r="B14" s="208">
        <v>36342</v>
      </c>
      <c r="C14" s="209">
        <v>98502</v>
      </c>
      <c r="D14" s="209">
        <v>96530</v>
      </c>
      <c r="E14" s="209">
        <v>25198</v>
      </c>
      <c r="F14" s="209">
        <v>25454</v>
      </c>
      <c r="G14" s="209">
        <v>21540</v>
      </c>
      <c r="H14" s="209">
        <v>10627</v>
      </c>
      <c r="I14" s="209">
        <v>188</v>
      </c>
      <c r="J14" s="209">
        <v>14862</v>
      </c>
      <c r="K14" s="209">
        <v>711</v>
      </c>
      <c r="L14" s="209">
        <v>13</v>
      </c>
      <c r="M14" s="209">
        <v>420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09">
        <v>0</v>
      </c>
      <c r="AC14" s="209">
        <v>0</v>
      </c>
      <c r="AD14" s="209">
        <v>0</v>
      </c>
      <c r="AE14" s="209">
        <v>0</v>
      </c>
      <c r="AF14" s="209">
        <v>0</v>
      </c>
      <c r="AG14" s="209">
        <v>0</v>
      </c>
      <c r="AH14" s="209">
        <v>0</v>
      </c>
      <c r="AI14" s="209">
        <v>0</v>
      </c>
      <c r="AJ14" s="209">
        <v>0</v>
      </c>
      <c r="AK14" s="209">
        <v>0</v>
      </c>
      <c r="AL14" s="209">
        <v>0</v>
      </c>
      <c r="AM14" s="207" t="s">
        <v>237</v>
      </c>
    </row>
    <row r="15" spans="1:39" ht="12.75">
      <c r="A15" s="204"/>
      <c r="B15" s="208">
        <v>36373</v>
      </c>
      <c r="C15" s="209">
        <v>8178</v>
      </c>
      <c r="D15" s="209">
        <v>50538</v>
      </c>
      <c r="E15" s="209">
        <v>21390</v>
      </c>
      <c r="F15" s="209">
        <v>25812</v>
      </c>
      <c r="G15" s="209">
        <v>3445</v>
      </c>
      <c r="H15" s="209">
        <v>-482</v>
      </c>
      <c r="I15" s="209">
        <v>1182</v>
      </c>
      <c r="J15" s="209">
        <v>512</v>
      </c>
      <c r="K15" s="209">
        <v>61</v>
      </c>
      <c r="L15" s="209">
        <v>-300</v>
      </c>
      <c r="M15" s="209">
        <v>0</v>
      </c>
      <c r="N15" s="209">
        <v>454</v>
      </c>
      <c r="O15" s="209">
        <v>286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209">
        <v>0</v>
      </c>
      <c r="AH15" s="209">
        <v>0</v>
      </c>
      <c r="AI15" s="209">
        <v>0</v>
      </c>
      <c r="AJ15" s="209">
        <v>0</v>
      </c>
      <c r="AK15" s="209">
        <v>0</v>
      </c>
      <c r="AL15" s="209">
        <v>0</v>
      </c>
      <c r="AM15" s="207" t="s">
        <v>238</v>
      </c>
    </row>
    <row r="16" spans="1:39" ht="12.75">
      <c r="A16" s="204"/>
      <c r="B16" s="208">
        <v>36404</v>
      </c>
      <c r="C16" s="209">
        <v>22133</v>
      </c>
      <c r="D16" s="209">
        <v>43202</v>
      </c>
      <c r="E16" s="209">
        <v>19233</v>
      </c>
      <c r="F16" s="209">
        <v>23721</v>
      </c>
      <c r="G16" s="209">
        <v>1187</v>
      </c>
      <c r="H16" s="209">
        <v>-269</v>
      </c>
      <c r="I16" s="209">
        <v>856</v>
      </c>
      <c r="J16" s="209">
        <v>553</v>
      </c>
      <c r="K16" s="209">
        <v>20</v>
      </c>
      <c r="L16" s="209">
        <v>-300</v>
      </c>
      <c r="M16" s="209">
        <v>374</v>
      </c>
      <c r="N16" s="209">
        <v>80</v>
      </c>
      <c r="O16" s="209">
        <v>286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09">
        <v>0</v>
      </c>
      <c r="AA16" s="209">
        <v>0</v>
      </c>
      <c r="AB16" s="209">
        <v>0</v>
      </c>
      <c r="AC16" s="209">
        <v>0</v>
      </c>
      <c r="AD16" s="209">
        <v>0</v>
      </c>
      <c r="AE16" s="209">
        <v>0</v>
      </c>
      <c r="AF16" s="209">
        <v>0</v>
      </c>
      <c r="AG16" s="209">
        <v>0</v>
      </c>
      <c r="AH16" s="209">
        <v>0</v>
      </c>
      <c r="AI16" s="209">
        <v>0</v>
      </c>
      <c r="AJ16" s="209">
        <v>0</v>
      </c>
      <c r="AK16" s="209">
        <v>0</v>
      </c>
      <c r="AL16" s="209">
        <v>0</v>
      </c>
      <c r="AM16" s="207" t="s">
        <v>237</v>
      </c>
    </row>
    <row r="17" spans="1:39" ht="12.75">
      <c r="A17" s="204"/>
      <c r="B17" s="208">
        <v>36434</v>
      </c>
      <c r="C17" s="209">
        <v>8887</v>
      </c>
      <c r="D17" s="209">
        <v>57900</v>
      </c>
      <c r="E17" s="209">
        <v>69592</v>
      </c>
      <c r="F17" s="209">
        <v>13073</v>
      </c>
      <c r="G17" s="209">
        <v>3966</v>
      </c>
      <c r="H17" s="209">
        <v>7382</v>
      </c>
      <c r="I17" s="209">
        <v>990</v>
      </c>
      <c r="J17" s="209">
        <v>1455</v>
      </c>
      <c r="K17" s="209">
        <v>1212</v>
      </c>
      <c r="L17" s="209">
        <v>252</v>
      </c>
      <c r="M17" s="209">
        <v>-208</v>
      </c>
      <c r="N17" s="209">
        <v>4466</v>
      </c>
      <c r="O17" s="209">
        <v>924</v>
      </c>
      <c r="P17" s="209">
        <v>85</v>
      </c>
      <c r="Q17" s="209">
        <v>1460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09">
        <v>0</v>
      </c>
      <c r="AE17" s="209">
        <v>0</v>
      </c>
      <c r="AF17" s="209">
        <v>0</v>
      </c>
      <c r="AG17" s="209">
        <v>0</v>
      </c>
      <c r="AH17" s="209">
        <v>0</v>
      </c>
      <c r="AI17" s="209">
        <v>0</v>
      </c>
      <c r="AJ17" s="209">
        <v>0</v>
      </c>
      <c r="AK17" s="209">
        <v>0</v>
      </c>
      <c r="AL17" s="209">
        <v>0</v>
      </c>
      <c r="AM17" s="207" t="s">
        <v>238</v>
      </c>
    </row>
    <row r="18" spans="1:39" ht="12.75">
      <c r="A18" s="204"/>
      <c r="B18" s="208">
        <v>36465</v>
      </c>
      <c r="C18" s="209">
        <v>31566</v>
      </c>
      <c r="D18" s="209">
        <v>83114</v>
      </c>
      <c r="E18" s="209">
        <v>23227</v>
      </c>
      <c r="F18" s="209">
        <v>13635</v>
      </c>
      <c r="G18" s="209">
        <v>5991</v>
      </c>
      <c r="H18" s="209">
        <v>3977</v>
      </c>
      <c r="I18" s="209">
        <v>323</v>
      </c>
      <c r="J18" s="209">
        <v>1412</v>
      </c>
      <c r="K18" s="209">
        <v>1242</v>
      </c>
      <c r="L18" s="209">
        <v>450</v>
      </c>
      <c r="M18" s="209">
        <v>-376</v>
      </c>
      <c r="N18" s="209">
        <v>4430</v>
      </c>
      <c r="O18" s="209">
        <v>900</v>
      </c>
      <c r="P18" s="209">
        <v>85</v>
      </c>
      <c r="Q18" s="209">
        <v>1460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209">
        <v>0</v>
      </c>
      <c r="Z18" s="209">
        <v>0</v>
      </c>
      <c r="AA18" s="209">
        <v>0</v>
      </c>
      <c r="AB18" s="209">
        <v>0</v>
      </c>
      <c r="AC18" s="209">
        <v>0</v>
      </c>
      <c r="AD18" s="209">
        <v>0</v>
      </c>
      <c r="AE18" s="209">
        <v>0</v>
      </c>
      <c r="AF18" s="209">
        <v>0</v>
      </c>
      <c r="AG18" s="209">
        <v>0</v>
      </c>
      <c r="AH18" s="209">
        <v>0</v>
      </c>
      <c r="AI18" s="209">
        <v>0</v>
      </c>
      <c r="AJ18" s="209">
        <v>0</v>
      </c>
      <c r="AK18" s="209">
        <v>0</v>
      </c>
      <c r="AL18" s="209">
        <v>0</v>
      </c>
      <c r="AM18" s="207" t="s">
        <v>237</v>
      </c>
    </row>
    <row r="19" spans="1:39" ht="12.75">
      <c r="A19" s="204"/>
      <c r="B19" s="208">
        <v>36495</v>
      </c>
      <c r="C19" s="209">
        <v>1321</v>
      </c>
      <c r="D19" s="209">
        <v>33300</v>
      </c>
      <c r="E19" s="209">
        <v>30097</v>
      </c>
      <c r="F19" s="209">
        <v>27921</v>
      </c>
      <c r="G19" s="209">
        <v>5276</v>
      </c>
      <c r="H19" s="209">
        <v>1752</v>
      </c>
      <c r="I19" s="209">
        <v>9245</v>
      </c>
      <c r="J19" s="209">
        <v>117</v>
      </c>
      <c r="K19" s="209">
        <v>216</v>
      </c>
      <c r="L19" s="209">
        <v>314</v>
      </c>
      <c r="M19" s="209">
        <v>204</v>
      </c>
      <c r="N19" s="209">
        <v>442</v>
      </c>
      <c r="O19" s="209">
        <v>561</v>
      </c>
      <c r="P19" s="209">
        <v>179</v>
      </c>
      <c r="Q19" s="209">
        <v>17</v>
      </c>
      <c r="R19" s="209">
        <v>273</v>
      </c>
      <c r="S19" s="209">
        <v>135</v>
      </c>
      <c r="T19" s="209">
        <v>168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09">
        <v>0</v>
      </c>
      <c r="AE19" s="209">
        <v>0</v>
      </c>
      <c r="AF19" s="209">
        <v>0</v>
      </c>
      <c r="AG19" s="209">
        <v>0</v>
      </c>
      <c r="AH19" s="209">
        <v>0</v>
      </c>
      <c r="AI19" s="209">
        <v>0</v>
      </c>
      <c r="AJ19" s="209">
        <v>0</v>
      </c>
      <c r="AK19" s="209">
        <v>0</v>
      </c>
      <c r="AL19" s="209">
        <v>0</v>
      </c>
      <c r="AM19" s="207" t="s">
        <v>238</v>
      </c>
    </row>
    <row r="20" spans="1:39" ht="12.75">
      <c r="A20" s="204"/>
      <c r="B20" s="208">
        <v>36526</v>
      </c>
      <c r="C20" s="209">
        <v>14982</v>
      </c>
      <c r="D20" s="209">
        <v>44836</v>
      </c>
      <c r="E20" s="209">
        <v>31946</v>
      </c>
      <c r="F20" s="209">
        <v>3681</v>
      </c>
      <c r="G20" s="209">
        <v>2985</v>
      </c>
      <c r="H20" s="209">
        <v>1328</v>
      </c>
      <c r="I20" s="209">
        <v>9314</v>
      </c>
      <c r="J20" s="209">
        <v>117</v>
      </c>
      <c r="K20" s="209">
        <v>56</v>
      </c>
      <c r="L20" s="209">
        <v>430</v>
      </c>
      <c r="M20" s="209">
        <v>88</v>
      </c>
      <c r="N20" s="209">
        <v>538</v>
      </c>
      <c r="O20" s="209">
        <v>508</v>
      </c>
      <c r="P20" s="209">
        <v>153</v>
      </c>
      <c r="Q20" s="209">
        <v>0</v>
      </c>
      <c r="R20" s="209">
        <v>273</v>
      </c>
      <c r="S20" s="209">
        <v>303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09">
        <v>0</v>
      </c>
      <c r="AE20" s="209">
        <v>0</v>
      </c>
      <c r="AF20" s="209">
        <v>0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0</v>
      </c>
      <c r="AM20" s="207" t="s">
        <v>237</v>
      </c>
    </row>
    <row r="21" spans="1:39" ht="12.75">
      <c r="A21" s="204"/>
      <c r="B21" s="208">
        <v>36557</v>
      </c>
      <c r="C21" s="209">
        <v>9736</v>
      </c>
      <c r="D21" s="209">
        <v>90376</v>
      </c>
      <c r="E21" s="209">
        <v>64236</v>
      </c>
      <c r="F21" s="209">
        <v>12899</v>
      </c>
      <c r="G21" s="209">
        <v>29961</v>
      </c>
      <c r="H21" s="209">
        <v>702</v>
      </c>
      <c r="I21" s="209">
        <v>1231</v>
      </c>
      <c r="J21" s="209">
        <v>530</v>
      </c>
      <c r="K21" s="209">
        <v>991</v>
      </c>
      <c r="L21" s="209">
        <v>30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791</v>
      </c>
      <c r="S21" s="209">
        <v>0</v>
      </c>
      <c r="T21" s="209">
        <v>0</v>
      </c>
      <c r="U21" s="209">
        <v>0</v>
      </c>
      <c r="V21" s="209">
        <v>80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0</v>
      </c>
      <c r="AC21" s="209">
        <v>0</v>
      </c>
      <c r="AD21" s="209">
        <v>0</v>
      </c>
      <c r="AE21" s="209">
        <v>0</v>
      </c>
      <c r="AF21" s="209">
        <v>0</v>
      </c>
      <c r="AG21" s="209">
        <v>0</v>
      </c>
      <c r="AH21" s="209">
        <v>0</v>
      </c>
      <c r="AI21" s="209">
        <v>0</v>
      </c>
      <c r="AJ21" s="209">
        <v>0</v>
      </c>
      <c r="AK21" s="209">
        <v>0</v>
      </c>
      <c r="AL21" s="209">
        <v>0</v>
      </c>
      <c r="AM21" s="207" t="s">
        <v>238</v>
      </c>
    </row>
    <row r="22" spans="1:39" ht="12.75">
      <c r="A22" s="204"/>
      <c r="B22" s="208">
        <v>36586</v>
      </c>
      <c r="C22" s="209">
        <v>68074</v>
      </c>
      <c r="D22" s="209">
        <v>108795</v>
      </c>
      <c r="E22" s="209">
        <v>22323</v>
      </c>
      <c r="F22" s="209">
        <v>1146</v>
      </c>
      <c r="G22" s="209">
        <v>6942</v>
      </c>
      <c r="H22" s="209">
        <v>821</v>
      </c>
      <c r="I22" s="209">
        <v>1096</v>
      </c>
      <c r="J22" s="209">
        <v>511</v>
      </c>
      <c r="K22" s="209">
        <v>954</v>
      </c>
      <c r="L22" s="209">
        <v>30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791</v>
      </c>
      <c r="S22" s="209">
        <v>0</v>
      </c>
      <c r="T22" s="209">
        <v>0</v>
      </c>
      <c r="U22" s="209">
        <v>0</v>
      </c>
      <c r="V22" s="209">
        <v>80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0</v>
      </c>
      <c r="AC22" s="209">
        <v>0</v>
      </c>
      <c r="AD22" s="209">
        <v>0</v>
      </c>
      <c r="AE22" s="209">
        <v>0</v>
      </c>
      <c r="AF22" s="209">
        <v>0</v>
      </c>
      <c r="AG22" s="209">
        <v>0</v>
      </c>
      <c r="AH22" s="209">
        <v>0</v>
      </c>
      <c r="AI22" s="209">
        <v>0</v>
      </c>
      <c r="AJ22" s="209">
        <v>0</v>
      </c>
      <c r="AK22" s="209">
        <v>0</v>
      </c>
      <c r="AL22" s="209">
        <v>0</v>
      </c>
      <c r="AM22" s="207" t="s">
        <v>237</v>
      </c>
    </row>
    <row r="23" spans="1:39" ht="12.75">
      <c r="A23" s="204"/>
      <c r="B23" s="208">
        <v>36617</v>
      </c>
      <c r="C23" s="209">
        <v>10201</v>
      </c>
      <c r="D23" s="209">
        <v>90658</v>
      </c>
      <c r="E23" s="209">
        <v>24213</v>
      </c>
      <c r="F23" s="209">
        <v>20107</v>
      </c>
      <c r="G23" s="209">
        <v>28866</v>
      </c>
      <c r="H23" s="209">
        <v>6492</v>
      </c>
      <c r="I23" s="209">
        <v>1428</v>
      </c>
      <c r="J23" s="209">
        <v>616</v>
      </c>
      <c r="K23" s="209">
        <v>53</v>
      </c>
      <c r="L23" s="209">
        <v>168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392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09">
        <v>0</v>
      </c>
      <c r="AI23" s="209">
        <v>0</v>
      </c>
      <c r="AJ23" s="209">
        <v>0</v>
      </c>
      <c r="AK23" s="209">
        <v>0</v>
      </c>
      <c r="AL23" s="209">
        <v>0</v>
      </c>
      <c r="AM23" s="207" t="s">
        <v>238</v>
      </c>
    </row>
    <row r="24" spans="1:39" ht="12.75">
      <c r="A24" s="204"/>
      <c r="B24" s="208">
        <v>36647</v>
      </c>
      <c r="C24" s="209">
        <v>80043</v>
      </c>
      <c r="D24" s="209">
        <v>39941</v>
      </c>
      <c r="E24" s="209">
        <v>10905</v>
      </c>
      <c r="F24" s="209">
        <v>38977</v>
      </c>
      <c r="G24" s="209">
        <v>4745</v>
      </c>
      <c r="H24" s="209">
        <v>6586</v>
      </c>
      <c r="I24" s="209">
        <v>1310</v>
      </c>
      <c r="J24" s="209">
        <v>107</v>
      </c>
      <c r="K24" s="209">
        <v>20</v>
      </c>
      <c r="L24" s="209">
        <v>168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09">
        <v>0</v>
      </c>
      <c r="S24" s="209">
        <v>0</v>
      </c>
      <c r="T24" s="209">
        <v>392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v>0</v>
      </c>
      <c r="AB24" s="209">
        <v>0</v>
      </c>
      <c r="AC24" s="209">
        <v>0</v>
      </c>
      <c r="AD24" s="209">
        <v>0</v>
      </c>
      <c r="AE24" s="209">
        <v>0</v>
      </c>
      <c r="AF24" s="209">
        <v>0</v>
      </c>
      <c r="AG24" s="209">
        <v>0</v>
      </c>
      <c r="AH24" s="209">
        <v>0</v>
      </c>
      <c r="AI24" s="209">
        <v>0</v>
      </c>
      <c r="AJ24" s="209">
        <v>0</v>
      </c>
      <c r="AK24" s="209">
        <v>0</v>
      </c>
      <c r="AL24" s="209">
        <v>0</v>
      </c>
      <c r="AM24" s="207" t="s">
        <v>237</v>
      </c>
    </row>
    <row r="25" spans="1:39" ht="12.75">
      <c r="A25" s="204"/>
      <c r="B25" s="208">
        <v>36678</v>
      </c>
      <c r="C25" s="209">
        <v>4501</v>
      </c>
      <c r="D25" s="209">
        <v>74638</v>
      </c>
      <c r="E25" s="209">
        <v>87955</v>
      </c>
      <c r="F25" s="209">
        <v>99302</v>
      </c>
      <c r="G25" s="209">
        <v>13877</v>
      </c>
      <c r="H25" s="209">
        <v>20118</v>
      </c>
      <c r="I25" s="209">
        <v>5661</v>
      </c>
      <c r="J25" s="209">
        <v>21364</v>
      </c>
      <c r="K25" s="209">
        <v>159</v>
      </c>
      <c r="L25" s="209">
        <v>480</v>
      </c>
      <c r="M25" s="209">
        <v>28</v>
      </c>
      <c r="N25" s="209">
        <v>693</v>
      </c>
      <c r="O25" s="209">
        <v>0</v>
      </c>
      <c r="P25" s="209">
        <v>0</v>
      </c>
      <c r="Q25" s="209">
        <v>131</v>
      </c>
      <c r="R25" s="209">
        <v>0</v>
      </c>
      <c r="S25" s="209">
        <v>294</v>
      </c>
      <c r="T25" s="209">
        <v>0</v>
      </c>
      <c r="U25" s="209">
        <v>0</v>
      </c>
      <c r="V25" s="209">
        <v>96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0</v>
      </c>
      <c r="AE25" s="209">
        <v>0</v>
      </c>
      <c r="AF25" s="209">
        <v>0</v>
      </c>
      <c r="AG25" s="209">
        <v>0</v>
      </c>
      <c r="AH25" s="209">
        <v>0</v>
      </c>
      <c r="AI25" s="209">
        <v>0</v>
      </c>
      <c r="AJ25" s="209">
        <v>0</v>
      </c>
      <c r="AK25" s="209">
        <v>0</v>
      </c>
      <c r="AL25" s="209">
        <v>0</v>
      </c>
      <c r="AM25" s="207" t="s">
        <v>238</v>
      </c>
    </row>
    <row r="26" spans="1:39" ht="12.75">
      <c r="A26" s="204"/>
      <c r="B26" s="208">
        <v>36708</v>
      </c>
      <c r="C26" s="209">
        <v>45495</v>
      </c>
      <c r="D26" s="209">
        <v>81868</v>
      </c>
      <c r="E26" s="209">
        <v>96720</v>
      </c>
      <c r="F26" s="209">
        <v>55381</v>
      </c>
      <c r="G26" s="209">
        <v>3174</v>
      </c>
      <c r="H26" s="209">
        <v>17865</v>
      </c>
      <c r="I26" s="209">
        <v>5653</v>
      </c>
      <c r="J26" s="209">
        <v>21419</v>
      </c>
      <c r="K26" s="209">
        <v>0</v>
      </c>
      <c r="L26" s="209">
        <v>480</v>
      </c>
      <c r="M26" s="209">
        <v>702</v>
      </c>
      <c r="N26" s="209">
        <v>19</v>
      </c>
      <c r="O26" s="209">
        <v>0</v>
      </c>
      <c r="P26" s="209">
        <v>131</v>
      </c>
      <c r="Q26" s="209">
        <v>0</v>
      </c>
      <c r="R26" s="209">
        <v>0</v>
      </c>
      <c r="S26" s="209">
        <v>294</v>
      </c>
      <c r="T26" s="209">
        <v>0</v>
      </c>
      <c r="U26" s="209">
        <v>0</v>
      </c>
      <c r="V26" s="209">
        <v>96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0</v>
      </c>
      <c r="AE26" s="209">
        <v>0</v>
      </c>
      <c r="AF26" s="209">
        <v>0</v>
      </c>
      <c r="AG26" s="209">
        <v>0</v>
      </c>
      <c r="AH26" s="209">
        <v>0</v>
      </c>
      <c r="AI26" s="209">
        <v>0</v>
      </c>
      <c r="AJ26" s="209">
        <v>0</v>
      </c>
      <c r="AK26" s="209">
        <v>0</v>
      </c>
      <c r="AL26" s="209">
        <v>0</v>
      </c>
      <c r="AM26" s="207" t="s">
        <v>237</v>
      </c>
    </row>
    <row r="27" spans="1:39" ht="12.75">
      <c r="A27" s="204"/>
      <c r="B27" s="208">
        <v>36739</v>
      </c>
      <c r="C27" s="209">
        <v>2952</v>
      </c>
      <c r="D27" s="209">
        <v>58928</v>
      </c>
      <c r="E27" s="209">
        <v>130303</v>
      </c>
      <c r="F27" s="209">
        <v>52128</v>
      </c>
      <c r="G27" s="209">
        <v>14870</v>
      </c>
      <c r="H27" s="209">
        <v>3898</v>
      </c>
      <c r="I27" s="209">
        <v>15681</v>
      </c>
      <c r="J27" s="209">
        <v>1013</v>
      </c>
      <c r="K27" s="209">
        <v>981</v>
      </c>
      <c r="L27" s="209">
        <v>121</v>
      </c>
      <c r="M27" s="209">
        <v>0</v>
      </c>
      <c r="N27" s="209">
        <v>84</v>
      </c>
      <c r="O27" s="209">
        <v>213</v>
      </c>
      <c r="P27" s="209">
        <v>53</v>
      </c>
      <c r="Q27" s="209">
        <v>0</v>
      </c>
      <c r="R27" s="209">
        <v>0</v>
      </c>
      <c r="S27" s="209">
        <v>0</v>
      </c>
      <c r="T27" s="209">
        <v>210</v>
      </c>
      <c r="U27" s="209">
        <v>75</v>
      </c>
      <c r="V27" s="209">
        <v>0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09">
        <v>0</v>
      </c>
      <c r="AF27" s="209">
        <v>0</v>
      </c>
      <c r="AG27" s="209">
        <v>0</v>
      </c>
      <c r="AH27" s="209">
        <v>0</v>
      </c>
      <c r="AI27" s="209">
        <v>0</v>
      </c>
      <c r="AJ27" s="209">
        <v>0</v>
      </c>
      <c r="AK27" s="209">
        <v>0</v>
      </c>
      <c r="AL27" s="209">
        <v>0</v>
      </c>
      <c r="AM27" s="207" t="s">
        <v>238</v>
      </c>
    </row>
    <row r="28" spans="1:39" ht="12.75">
      <c r="A28" s="204"/>
      <c r="B28" s="208">
        <v>36770</v>
      </c>
      <c r="C28" s="209">
        <v>22590</v>
      </c>
      <c r="D28" s="209">
        <v>127706</v>
      </c>
      <c r="E28" s="209">
        <v>52799</v>
      </c>
      <c r="F28" s="209">
        <v>53458</v>
      </c>
      <c r="G28" s="209">
        <v>8807</v>
      </c>
      <c r="H28" s="209">
        <v>2747</v>
      </c>
      <c r="I28" s="209">
        <v>11162</v>
      </c>
      <c r="J28" s="209">
        <v>581</v>
      </c>
      <c r="K28" s="209">
        <v>1025</v>
      </c>
      <c r="L28" s="209">
        <v>0</v>
      </c>
      <c r="M28" s="209">
        <v>0</v>
      </c>
      <c r="N28" s="209">
        <v>84</v>
      </c>
      <c r="O28" s="209">
        <v>213</v>
      </c>
      <c r="P28" s="209">
        <v>53</v>
      </c>
      <c r="Q28" s="209">
        <v>0</v>
      </c>
      <c r="R28" s="209">
        <v>0</v>
      </c>
      <c r="S28" s="209">
        <v>210</v>
      </c>
      <c r="T28" s="209">
        <v>0</v>
      </c>
      <c r="U28" s="209">
        <v>75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0</v>
      </c>
      <c r="AE28" s="209">
        <v>0</v>
      </c>
      <c r="AF28" s="209">
        <v>0</v>
      </c>
      <c r="AG28" s="209">
        <v>0</v>
      </c>
      <c r="AH28" s="209">
        <v>0</v>
      </c>
      <c r="AI28" s="209">
        <v>0</v>
      </c>
      <c r="AJ28" s="209">
        <v>0</v>
      </c>
      <c r="AK28" s="209">
        <v>0</v>
      </c>
      <c r="AL28" s="209">
        <v>0</v>
      </c>
      <c r="AM28" s="207" t="s">
        <v>237</v>
      </c>
    </row>
    <row r="29" spans="1:39" ht="12.75">
      <c r="A29" s="204"/>
      <c r="B29" s="208">
        <v>36800</v>
      </c>
      <c r="C29" s="209">
        <v>2217</v>
      </c>
      <c r="D29" s="209">
        <v>50074</v>
      </c>
      <c r="E29" s="209">
        <v>38342</v>
      </c>
      <c r="F29" s="209">
        <v>59896</v>
      </c>
      <c r="G29" s="209">
        <v>12140</v>
      </c>
      <c r="H29" s="209">
        <v>3146</v>
      </c>
      <c r="I29" s="209">
        <v>1154</v>
      </c>
      <c r="J29" s="209">
        <v>9723</v>
      </c>
      <c r="K29" s="209">
        <v>403</v>
      </c>
      <c r="L29" s="209">
        <v>0</v>
      </c>
      <c r="M29" s="209">
        <v>1132</v>
      </c>
      <c r="N29" s="209">
        <v>177</v>
      </c>
      <c r="O29" s="209">
        <v>160</v>
      </c>
      <c r="P29" s="209">
        <v>3268</v>
      </c>
      <c r="Q29" s="209">
        <v>288</v>
      </c>
      <c r="R29" s="209">
        <v>398</v>
      </c>
      <c r="S29" s="209">
        <v>57</v>
      </c>
      <c r="T29" s="209">
        <v>734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09">
        <v>0</v>
      </c>
      <c r="AI29" s="209">
        <v>0</v>
      </c>
      <c r="AJ29" s="209">
        <v>0</v>
      </c>
      <c r="AK29" s="209">
        <v>0</v>
      </c>
      <c r="AL29" s="209">
        <v>0</v>
      </c>
      <c r="AM29" s="207" t="s">
        <v>238</v>
      </c>
    </row>
    <row r="30" spans="1:39" ht="12.75">
      <c r="A30" s="204"/>
      <c r="B30" s="208">
        <v>36831</v>
      </c>
      <c r="C30" s="209">
        <v>19627</v>
      </c>
      <c r="D30" s="209">
        <v>78051</v>
      </c>
      <c r="E30" s="209">
        <v>32446</v>
      </c>
      <c r="F30" s="209">
        <v>30039</v>
      </c>
      <c r="G30" s="209">
        <v>3104</v>
      </c>
      <c r="H30" s="209">
        <v>8621</v>
      </c>
      <c r="I30" s="209">
        <v>1405</v>
      </c>
      <c r="J30" s="209">
        <v>3535</v>
      </c>
      <c r="K30" s="209">
        <v>707</v>
      </c>
      <c r="L30" s="209">
        <v>57</v>
      </c>
      <c r="M30" s="209">
        <v>692</v>
      </c>
      <c r="N30" s="209">
        <v>229</v>
      </c>
      <c r="O30" s="209">
        <v>3279</v>
      </c>
      <c r="P30" s="209">
        <v>40</v>
      </c>
      <c r="Q30" s="209">
        <v>328</v>
      </c>
      <c r="R30" s="209">
        <v>415</v>
      </c>
      <c r="S30" s="209">
        <v>0</v>
      </c>
      <c r="T30" s="209">
        <v>734</v>
      </c>
      <c r="U30" s="209">
        <v>0</v>
      </c>
      <c r="V30" s="209">
        <v>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0</v>
      </c>
      <c r="AE30" s="209">
        <v>0</v>
      </c>
      <c r="AF30" s="209">
        <v>0</v>
      </c>
      <c r="AG30" s="209">
        <v>0</v>
      </c>
      <c r="AH30" s="209">
        <v>0</v>
      </c>
      <c r="AI30" s="209">
        <v>0</v>
      </c>
      <c r="AJ30" s="209">
        <v>0</v>
      </c>
      <c r="AK30" s="209">
        <v>0</v>
      </c>
      <c r="AL30" s="209">
        <v>0</v>
      </c>
      <c r="AM30" s="207" t="s">
        <v>237</v>
      </c>
    </row>
    <row r="31" spans="1:39" ht="12.75">
      <c r="A31" s="204"/>
      <c r="B31" s="208">
        <v>36861</v>
      </c>
      <c r="C31" s="209">
        <v>5402</v>
      </c>
      <c r="D31" s="209">
        <v>16943</v>
      </c>
      <c r="E31" s="209">
        <v>34607</v>
      </c>
      <c r="F31" s="209">
        <v>6988</v>
      </c>
      <c r="G31" s="209">
        <v>3602</v>
      </c>
      <c r="H31" s="209">
        <v>2116</v>
      </c>
      <c r="I31" s="209">
        <v>7375</v>
      </c>
      <c r="J31" s="209">
        <v>474</v>
      </c>
      <c r="K31" s="209">
        <v>3162</v>
      </c>
      <c r="L31" s="209">
        <v>1388</v>
      </c>
      <c r="M31" s="209">
        <v>160</v>
      </c>
      <c r="N31" s="209">
        <v>284</v>
      </c>
      <c r="O31" s="209">
        <v>406</v>
      </c>
      <c r="P31" s="209">
        <v>788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209">
        <v>0</v>
      </c>
      <c r="AF31" s="209">
        <v>0</v>
      </c>
      <c r="AG31" s="209">
        <v>0</v>
      </c>
      <c r="AH31" s="209">
        <v>0</v>
      </c>
      <c r="AI31" s="209">
        <v>0</v>
      </c>
      <c r="AJ31" s="209">
        <v>0</v>
      </c>
      <c r="AK31" s="209">
        <v>0</v>
      </c>
      <c r="AL31" s="209">
        <v>0</v>
      </c>
      <c r="AM31" s="207" t="s">
        <v>238</v>
      </c>
    </row>
    <row r="32" spans="1:39" ht="12.75">
      <c r="A32" s="204"/>
      <c r="B32" s="208">
        <v>36892</v>
      </c>
      <c r="C32" s="209">
        <v>15456</v>
      </c>
      <c r="D32" s="209">
        <v>19047</v>
      </c>
      <c r="E32" s="209">
        <v>26813</v>
      </c>
      <c r="F32" s="209">
        <v>7995</v>
      </c>
      <c r="G32" s="209">
        <v>520</v>
      </c>
      <c r="H32" s="209">
        <v>1792</v>
      </c>
      <c r="I32" s="209">
        <v>5685</v>
      </c>
      <c r="J32" s="209">
        <v>405</v>
      </c>
      <c r="K32" s="209">
        <v>4138</v>
      </c>
      <c r="L32" s="209">
        <v>206</v>
      </c>
      <c r="M32" s="209">
        <v>360</v>
      </c>
      <c r="N32" s="209">
        <v>188</v>
      </c>
      <c r="O32" s="209">
        <v>302</v>
      </c>
      <c r="P32" s="209">
        <v>788</v>
      </c>
      <c r="Q32" s="209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209">
        <v>0</v>
      </c>
      <c r="AF32" s="209">
        <v>0</v>
      </c>
      <c r="AG32" s="209">
        <v>0</v>
      </c>
      <c r="AH32" s="209">
        <v>0</v>
      </c>
      <c r="AI32" s="209">
        <v>0</v>
      </c>
      <c r="AJ32" s="209">
        <v>0</v>
      </c>
      <c r="AK32" s="209">
        <v>0</v>
      </c>
      <c r="AL32" s="209">
        <v>0</v>
      </c>
      <c r="AM32" s="207" t="s">
        <v>237</v>
      </c>
    </row>
    <row r="33" spans="1:39" ht="12.75">
      <c r="A33" s="204"/>
      <c r="B33" s="208">
        <v>36923</v>
      </c>
      <c r="C33" s="209">
        <v>544</v>
      </c>
      <c r="D33" s="209">
        <v>16998</v>
      </c>
      <c r="E33" s="209">
        <v>37793</v>
      </c>
      <c r="F33" s="209">
        <v>49731</v>
      </c>
      <c r="G33" s="209">
        <v>28448</v>
      </c>
      <c r="H33" s="209">
        <v>2175</v>
      </c>
      <c r="I33" s="209">
        <v>1814</v>
      </c>
      <c r="J33" s="209">
        <v>333</v>
      </c>
      <c r="K33" s="209">
        <v>718</v>
      </c>
      <c r="L33" s="209">
        <v>1341</v>
      </c>
      <c r="M33" s="209">
        <v>64</v>
      </c>
      <c r="N33" s="209">
        <v>28</v>
      </c>
      <c r="O33" s="209">
        <v>0</v>
      </c>
      <c r="P33" s="209">
        <v>0</v>
      </c>
      <c r="Q33" s="209">
        <v>256</v>
      </c>
      <c r="R33" s="209">
        <v>108</v>
      </c>
      <c r="S33" s="209">
        <v>70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209">
        <v>0</v>
      </c>
      <c r="AF33" s="209">
        <v>0</v>
      </c>
      <c r="AG33" s="209">
        <v>0</v>
      </c>
      <c r="AH33" s="209">
        <v>0</v>
      </c>
      <c r="AI33" s="209">
        <v>0</v>
      </c>
      <c r="AJ33" s="209">
        <v>0</v>
      </c>
      <c r="AK33" s="209">
        <v>0</v>
      </c>
      <c r="AL33" s="209">
        <v>0</v>
      </c>
      <c r="AM33" s="207" t="s">
        <v>238</v>
      </c>
    </row>
    <row r="34" spans="1:39" ht="12.75">
      <c r="A34" s="204"/>
      <c r="B34" s="208">
        <v>36951</v>
      </c>
      <c r="C34" s="209">
        <v>8442</v>
      </c>
      <c r="D34" s="209">
        <v>51447</v>
      </c>
      <c r="E34" s="209">
        <v>16192</v>
      </c>
      <c r="F34" s="209">
        <v>58463</v>
      </c>
      <c r="G34" s="209">
        <v>1725</v>
      </c>
      <c r="H34" s="209">
        <v>1611</v>
      </c>
      <c r="I34" s="209">
        <v>455</v>
      </c>
      <c r="J34" s="209">
        <v>881</v>
      </c>
      <c r="K34" s="209">
        <v>679</v>
      </c>
      <c r="L34" s="209">
        <v>64</v>
      </c>
      <c r="M34" s="209">
        <v>28</v>
      </c>
      <c r="N34" s="209">
        <v>0</v>
      </c>
      <c r="O34" s="209">
        <v>0</v>
      </c>
      <c r="P34" s="209">
        <v>0</v>
      </c>
      <c r="Q34" s="209">
        <v>256</v>
      </c>
      <c r="R34" s="209">
        <v>108</v>
      </c>
      <c r="S34" s="209">
        <v>70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7" t="s">
        <v>237</v>
      </c>
    </row>
    <row r="35" spans="1:39" ht="12.75">
      <c r="A35" s="204"/>
      <c r="B35" s="208">
        <v>36982</v>
      </c>
      <c r="C35" s="209">
        <v>1180</v>
      </c>
      <c r="D35" s="209">
        <v>33425</v>
      </c>
      <c r="E35" s="209">
        <v>35398</v>
      </c>
      <c r="F35" s="209">
        <v>24109</v>
      </c>
      <c r="G35" s="209">
        <v>7879</v>
      </c>
      <c r="H35" s="209">
        <v>9007</v>
      </c>
      <c r="I35" s="209">
        <v>1278</v>
      </c>
      <c r="J35" s="209">
        <v>1250</v>
      </c>
      <c r="K35" s="209">
        <v>572</v>
      </c>
      <c r="L35" s="209">
        <v>253</v>
      </c>
      <c r="M35" s="209">
        <v>0</v>
      </c>
      <c r="N35" s="209">
        <v>0</v>
      </c>
      <c r="O35" s="209">
        <v>-247</v>
      </c>
      <c r="P35" s="209">
        <v>266</v>
      </c>
      <c r="Q35" s="209">
        <v>7809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209">
        <v>0</v>
      </c>
      <c r="AF35" s="209">
        <v>0</v>
      </c>
      <c r="AG35" s="209">
        <v>0</v>
      </c>
      <c r="AH35" s="209">
        <v>0</v>
      </c>
      <c r="AI35" s="209">
        <v>0</v>
      </c>
      <c r="AJ35" s="209">
        <v>0</v>
      </c>
      <c r="AK35" s="209">
        <v>0</v>
      </c>
      <c r="AL35" s="209">
        <v>0</v>
      </c>
      <c r="AM35" s="207" t="s">
        <v>238</v>
      </c>
    </row>
    <row r="36" spans="1:39" ht="12.75">
      <c r="A36" s="204"/>
      <c r="B36" s="208">
        <v>37012</v>
      </c>
      <c r="C36" s="209">
        <v>24336</v>
      </c>
      <c r="D36" s="209">
        <v>38853</v>
      </c>
      <c r="E36" s="209">
        <v>23133</v>
      </c>
      <c r="F36" s="209">
        <v>13306</v>
      </c>
      <c r="G36" s="209">
        <v>5789</v>
      </c>
      <c r="H36" s="209">
        <v>5946</v>
      </c>
      <c r="I36" s="209">
        <v>1041</v>
      </c>
      <c r="J36" s="209">
        <v>1381</v>
      </c>
      <c r="K36" s="209">
        <v>313</v>
      </c>
      <c r="L36" s="209">
        <v>253</v>
      </c>
      <c r="M36" s="209">
        <v>0</v>
      </c>
      <c r="N36" s="209">
        <v>0</v>
      </c>
      <c r="O36" s="209">
        <v>-247</v>
      </c>
      <c r="P36" s="209">
        <v>266</v>
      </c>
      <c r="Q36" s="209">
        <v>7809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209">
        <v>0</v>
      </c>
      <c r="AF36" s="209">
        <v>0</v>
      </c>
      <c r="AG36" s="209">
        <v>0</v>
      </c>
      <c r="AH36" s="209">
        <v>0</v>
      </c>
      <c r="AI36" s="209">
        <v>0</v>
      </c>
      <c r="AJ36" s="209">
        <v>0</v>
      </c>
      <c r="AK36" s="209">
        <v>0</v>
      </c>
      <c r="AL36" s="209">
        <v>0</v>
      </c>
      <c r="AM36" s="207" t="s">
        <v>237</v>
      </c>
    </row>
    <row r="37" spans="1:39" ht="12.75">
      <c r="A37" s="204"/>
      <c r="B37" s="208">
        <v>37043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7" t="s">
        <v>238</v>
      </c>
    </row>
    <row r="38" spans="1:39" ht="12.75">
      <c r="A38" s="204"/>
      <c r="B38" s="208">
        <v>37073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09">
        <v>0</v>
      </c>
      <c r="AF38" s="209">
        <v>0</v>
      </c>
      <c r="AG38" s="209">
        <v>0</v>
      </c>
      <c r="AH38" s="209">
        <v>0</v>
      </c>
      <c r="AI38" s="209">
        <v>0</v>
      </c>
      <c r="AJ38" s="209">
        <v>0</v>
      </c>
      <c r="AK38" s="209">
        <v>0</v>
      </c>
      <c r="AL38" s="209">
        <v>0</v>
      </c>
      <c r="AM38" s="207" t="s">
        <v>237</v>
      </c>
    </row>
    <row r="39" spans="2:38" ht="11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AM39"/>
  <sheetViews>
    <sheetView zoomScale="80" zoomScaleNormal="80" workbookViewId="0" topLeftCell="A1">
      <selection activeCell="F34" sqref="F34"/>
    </sheetView>
  </sheetViews>
  <sheetFormatPr defaultColWidth="9.140625" defaultRowHeight="12.75"/>
  <cols>
    <col min="1" max="1" width="2.7109375" style="49" customWidth="1"/>
    <col min="2" max="2" width="15.8515625" style="49" bestFit="1" customWidth="1"/>
    <col min="3" max="3" width="9.28125" style="49" bestFit="1" customWidth="1"/>
    <col min="4" max="5" width="10.57421875" style="49" bestFit="1" customWidth="1"/>
    <col min="6" max="38" width="9.28125" style="49" bestFit="1" customWidth="1"/>
    <col min="39" max="16384" width="9.140625" style="49" customWidth="1"/>
  </cols>
  <sheetData>
    <row r="2" spans="1:39" s="54" customFormat="1" ht="11.25">
      <c r="A2" s="203"/>
      <c r="B2" s="56" t="s">
        <v>128</v>
      </c>
      <c r="C2" s="55" t="s">
        <v>92</v>
      </c>
      <c r="D2" s="55" t="s">
        <v>93</v>
      </c>
      <c r="E2" s="55" t="s">
        <v>94</v>
      </c>
      <c r="F2" s="55" t="s">
        <v>95</v>
      </c>
      <c r="G2" s="55" t="s">
        <v>96</v>
      </c>
      <c r="H2" s="55" t="s">
        <v>97</v>
      </c>
      <c r="I2" s="55" t="s">
        <v>98</v>
      </c>
      <c r="J2" s="55" t="s">
        <v>99</v>
      </c>
      <c r="K2" s="55" t="s">
        <v>100</v>
      </c>
      <c r="L2" s="55" t="s">
        <v>101</v>
      </c>
      <c r="M2" s="55" t="s">
        <v>102</v>
      </c>
      <c r="N2" s="55" t="s">
        <v>103</v>
      </c>
      <c r="O2" s="55" t="s">
        <v>104</v>
      </c>
      <c r="P2" s="55" t="s">
        <v>105</v>
      </c>
      <c r="Q2" s="55" t="s">
        <v>106</v>
      </c>
      <c r="R2" s="55" t="s">
        <v>107</v>
      </c>
      <c r="S2" s="55" t="s">
        <v>108</v>
      </c>
      <c r="T2" s="55" t="s">
        <v>109</v>
      </c>
      <c r="U2" s="55" t="s">
        <v>110</v>
      </c>
      <c r="V2" s="55" t="s">
        <v>111</v>
      </c>
      <c r="W2" s="55" t="s">
        <v>112</v>
      </c>
      <c r="X2" s="55" t="s">
        <v>113</v>
      </c>
      <c r="Y2" s="55" t="s">
        <v>114</v>
      </c>
      <c r="Z2" s="55" t="s">
        <v>115</v>
      </c>
      <c r="AA2" s="55" t="s">
        <v>116</v>
      </c>
      <c r="AB2" s="55" t="s">
        <v>117</v>
      </c>
      <c r="AC2" s="55" t="s">
        <v>118</v>
      </c>
      <c r="AD2" s="55" t="s">
        <v>119</v>
      </c>
      <c r="AE2" s="55" t="s">
        <v>120</v>
      </c>
      <c r="AF2" s="55" t="s">
        <v>121</v>
      </c>
      <c r="AG2" s="55" t="s">
        <v>122</v>
      </c>
      <c r="AH2" s="55" t="s">
        <v>123</v>
      </c>
      <c r="AI2" s="55" t="s">
        <v>124</v>
      </c>
      <c r="AJ2" s="55" t="s">
        <v>125</v>
      </c>
      <c r="AK2" s="55" t="s">
        <v>126</v>
      </c>
      <c r="AL2" s="55" t="s">
        <v>127</v>
      </c>
      <c r="AM2" s="206"/>
    </row>
    <row r="3" spans="1:39" ht="12.75">
      <c r="A3" s="204"/>
      <c r="B3" s="208">
        <v>36008</v>
      </c>
      <c r="C3" s="209">
        <v>50333</v>
      </c>
      <c r="D3" s="209">
        <v>0</v>
      </c>
      <c r="E3" s="209">
        <v>0</v>
      </c>
      <c r="F3" s="209">
        <v>0</v>
      </c>
      <c r="G3" s="209">
        <v>0</v>
      </c>
      <c r="H3" s="209">
        <v>0</v>
      </c>
      <c r="I3" s="209">
        <v>0</v>
      </c>
      <c r="J3" s="209">
        <v>0</v>
      </c>
      <c r="K3" s="209">
        <v>0</v>
      </c>
      <c r="L3" s="209">
        <v>0</v>
      </c>
      <c r="M3" s="209">
        <v>0</v>
      </c>
      <c r="N3" s="209">
        <v>0</v>
      </c>
      <c r="O3" s="209">
        <v>0</v>
      </c>
      <c r="P3" s="209">
        <v>0</v>
      </c>
      <c r="Q3" s="209">
        <v>0</v>
      </c>
      <c r="R3" s="209">
        <v>0</v>
      </c>
      <c r="S3" s="209">
        <v>0</v>
      </c>
      <c r="T3" s="209">
        <v>0</v>
      </c>
      <c r="U3" s="209">
        <v>0</v>
      </c>
      <c r="V3" s="209">
        <v>0</v>
      </c>
      <c r="W3" s="209">
        <v>0</v>
      </c>
      <c r="X3" s="209">
        <v>0</v>
      </c>
      <c r="Y3" s="209">
        <v>0</v>
      </c>
      <c r="Z3" s="209">
        <v>0</v>
      </c>
      <c r="AA3" s="209">
        <v>0</v>
      </c>
      <c r="AB3" s="209">
        <v>0</v>
      </c>
      <c r="AC3" s="209">
        <v>0</v>
      </c>
      <c r="AD3" s="209">
        <v>0</v>
      </c>
      <c r="AE3" s="209">
        <v>0</v>
      </c>
      <c r="AF3" s="209">
        <v>0</v>
      </c>
      <c r="AG3" s="209">
        <v>0</v>
      </c>
      <c r="AH3" s="209">
        <v>0</v>
      </c>
      <c r="AI3" s="209">
        <v>0</v>
      </c>
      <c r="AJ3" s="209">
        <v>0</v>
      </c>
      <c r="AK3" s="209">
        <v>0</v>
      </c>
      <c r="AL3" s="209">
        <v>0</v>
      </c>
      <c r="AM3" s="207" t="s">
        <v>238</v>
      </c>
    </row>
    <row r="4" spans="1:39" ht="12.75">
      <c r="A4" s="204"/>
      <c r="B4" s="208">
        <v>36039</v>
      </c>
      <c r="C4" s="209">
        <v>50333</v>
      </c>
      <c r="D4" s="209">
        <v>0</v>
      </c>
      <c r="E4" s="209">
        <v>0</v>
      </c>
      <c r="F4" s="209">
        <v>0</v>
      </c>
      <c r="G4" s="209">
        <v>0</v>
      </c>
      <c r="H4" s="209">
        <v>0</v>
      </c>
      <c r="I4" s="209">
        <v>0</v>
      </c>
      <c r="J4" s="209">
        <v>0</v>
      </c>
      <c r="K4" s="209">
        <v>0</v>
      </c>
      <c r="L4" s="209">
        <v>0</v>
      </c>
      <c r="M4" s="209">
        <v>0</v>
      </c>
      <c r="N4" s="209">
        <v>0</v>
      </c>
      <c r="O4" s="209">
        <v>0</v>
      </c>
      <c r="P4" s="209">
        <v>0</v>
      </c>
      <c r="Q4" s="209">
        <v>0</v>
      </c>
      <c r="R4" s="209">
        <v>0</v>
      </c>
      <c r="S4" s="209">
        <v>0</v>
      </c>
      <c r="T4" s="209">
        <v>0</v>
      </c>
      <c r="U4" s="209">
        <v>0</v>
      </c>
      <c r="V4" s="209">
        <v>0</v>
      </c>
      <c r="W4" s="209">
        <v>0</v>
      </c>
      <c r="X4" s="209">
        <v>0</v>
      </c>
      <c r="Y4" s="209">
        <v>0</v>
      </c>
      <c r="Z4" s="209">
        <v>0</v>
      </c>
      <c r="AA4" s="209">
        <v>0</v>
      </c>
      <c r="AB4" s="209">
        <v>0</v>
      </c>
      <c r="AC4" s="209">
        <v>0</v>
      </c>
      <c r="AD4" s="209">
        <v>0</v>
      </c>
      <c r="AE4" s="209">
        <v>0</v>
      </c>
      <c r="AF4" s="209">
        <v>0</v>
      </c>
      <c r="AG4" s="209">
        <v>0</v>
      </c>
      <c r="AH4" s="209">
        <v>0</v>
      </c>
      <c r="AI4" s="209">
        <v>0</v>
      </c>
      <c r="AJ4" s="209">
        <v>0</v>
      </c>
      <c r="AK4" s="209">
        <v>0</v>
      </c>
      <c r="AL4" s="209">
        <v>0</v>
      </c>
      <c r="AM4" s="207" t="s">
        <v>237</v>
      </c>
    </row>
    <row r="5" spans="1:39" ht="12.75">
      <c r="A5" s="204"/>
      <c r="B5" s="208">
        <v>36069</v>
      </c>
      <c r="C5" s="209">
        <v>20337</v>
      </c>
      <c r="D5" s="209">
        <v>176427</v>
      </c>
      <c r="E5" s="209">
        <v>24820</v>
      </c>
      <c r="F5" s="209">
        <v>0</v>
      </c>
      <c r="G5" s="209">
        <v>0</v>
      </c>
      <c r="H5" s="209">
        <v>0</v>
      </c>
      <c r="I5" s="209">
        <v>0</v>
      </c>
      <c r="J5" s="209">
        <v>0</v>
      </c>
      <c r="K5" s="209">
        <v>0</v>
      </c>
      <c r="L5" s="209">
        <v>0</v>
      </c>
      <c r="M5" s="209">
        <v>0</v>
      </c>
      <c r="N5" s="209">
        <v>0</v>
      </c>
      <c r="O5" s="209">
        <v>0</v>
      </c>
      <c r="P5" s="209">
        <v>0</v>
      </c>
      <c r="Q5" s="209">
        <v>0</v>
      </c>
      <c r="R5" s="209">
        <v>0</v>
      </c>
      <c r="S5" s="209">
        <v>0</v>
      </c>
      <c r="T5" s="209">
        <v>0</v>
      </c>
      <c r="U5" s="209">
        <v>0</v>
      </c>
      <c r="V5" s="209">
        <v>0</v>
      </c>
      <c r="W5" s="209">
        <v>0</v>
      </c>
      <c r="X5" s="209">
        <v>0</v>
      </c>
      <c r="Y5" s="209">
        <v>0</v>
      </c>
      <c r="Z5" s="209">
        <v>0</v>
      </c>
      <c r="AA5" s="209">
        <v>0</v>
      </c>
      <c r="AB5" s="209">
        <v>0</v>
      </c>
      <c r="AC5" s="209">
        <v>0</v>
      </c>
      <c r="AD5" s="209">
        <v>0</v>
      </c>
      <c r="AE5" s="209">
        <v>0</v>
      </c>
      <c r="AF5" s="209">
        <v>0</v>
      </c>
      <c r="AG5" s="209">
        <v>0</v>
      </c>
      <c r="AH5" s="209">
        <v>0</v>
      </c>
      <c r="AI5" s="209">
        <v>0</v>
      </c>
      <c r="AJ5" s="209">
        <v>0</v>
      </c>
      <c r="AK5" s="209">
        <v>0</v>
      </c>
      <c r="AL5" s="209">
        <v>0</v>
      </c>
      <c r="AM5" s="207" t="s">
        <v>238</v>
      </c>
    </row>
    <row r="6" spans="1:39" ht="12.75">
      <c r="A6" s="204"/>
      <c r="B6" s="208">
        <v>36100</v>
      </c>
      <c r="C6" s="209">
        <v>40479</v>
      </c>
      <c r="D6" s="209">
        <v>159677</v>
      </c>
      <c r="E6" s="209">
        <v>21428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09">
        <v>0</v>
      </c>
      <c r="N6" s="209">
        <v>0</v>
      </c>
      <c r="O6" s="209">
        <v>0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9">
        <v>0</v>
      </c>
      <c r="V6" s="209">
        <v>0</v>
      </c>
      <c r="W6" s="209">
        <v>0</v>
      </c>
      <c r="X6" s="209">
        <v>0</v>
      </c>
      <c r="Y6" s="209">
        <v>0</v>
      </c>
      <c r="Z6" s="209">
        <v>0</v>
      </c>
      <c r="AA6" s="209">
        <v>0</v>
      </c>
      <c r="AB6" s="209">
        <v>0</v>
      </c>
      <c r="AC6" s="209">
        <v>0</v>
      </c>
      <c r="AD6" s="209">
        <v>0</v>
      </c>
      <c r="AE6" s="209">
        <v>0</v>
      </c>
      <c r="AF6" s="209">
        <v>0</v>
      </c>
      <c r="AG6" s="209">
        <v>0</v>
      </c>
      <c r="AH6" s="209">
        <v>0</v>
      </c>
      <c r="AI6" s="209">
        <v>0</v>
      </c>
      <c r="AJ6" s="209">
        <v>0</v>
      </c>
      <c r="AK6" s="209">
        <v>0</v>
      </c>
      <c r="AL6" s="209">
        <v>0</v>
      </c>
      <c r="AM6" s="207" t="s">
        <v>237</v>
      </c>
    </row>
    <row r="7" spans="1:39" ht="12.75">
      <c r="A7" s="204"/>
      <c r="B7" s="208">
        <v>36130</v>
      </c>
      <c r="C7" s="209">
        <v>15320</v>
      </c>
      <c r="D7" s="209">
        <v>109280</v>
      </c>
      <c r="E7" s="209">
        <v>64318</v>
      </c>
      <c r="F7" s="209">
        <v>8788</v>
      </c>
      <c r="G7" s="209">
        <v>850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9">
        <v>0</v>
      </c>
      <c r="V7" s="209">
        <v>0</v>
      </c>
      <c r="W7" s="209">
        <v>0</v>
      </c>
      <c r="X7" s="209">
        <v>0</v>
      </c>
      <c r="Y7" s="209">
        <v>0</v>
      </c>
      <c r="Z7" s="209">
        <v>0</v>
      </c>
      <c r="AA7" s="209">
        <v>0</v>
      </c>
      <c r="AB7" s="209">
        <v>0</v>
      </c>
      <c r="AC7" s="209">
        <v>0</v>
      </c>
      <c r="AD7" s="209">
        <v>0</v>
      </c>
      <c r="AE7" s="209">
        <v>0</v>
      </c>
      <c r="AF7" s="209">
        <v>0</v>
      </c>
      <c r="AG7" s="209">
        <v>0</v>
      </c>
      <c r="AH7" s="209">
        <v>0</v>
      </c>
      <c r="AI7" s="209">
        <v>0</v>
      </c>
      <c r="AJ7" s="209">
        <v>0</v>
      </c>
      <c r="AK7" s="209">
        <v>0</v>
      </c>
      <c r="AL7" s="209">
        <v>0</v>
      </c>
      <c r="AM7" s="207" t="s">
        <v>238</v>
      </c>
    </row>
    <row r="8" spans="1:39" ht="12.75">
      <c r="A8" s="204"/>
      <c r="B8" s="208">
        <v>36161</v>
      </c>
      <c r="C8" s="209">
        <v>55099</v>
      </c>
      <c r="D8" s="209">
        <v>78962</v>
      </c>
      <c r="E8" s="209">
        <v>58105</v>
      </c>
      <c r="F8" s="209">
        <v>5540</v>
      </c>
      <c r="G8" s="209">
        <v>850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09">
        <v>0</v>
      </c>
      <c r="AF8" s="209">
        <v>0</v>
      </c>
      <c r="AG8" s="209">
        <v>0</v>
      </c>
      <c r="AH8" s="209">
        <v>0</v>
      </c>
      <c r="AI8" s="209">
        <v>0</v>
      </c>
      <c r="AJ8" s="209">
        <v>0</v>
      </c>
      <c r="AK8" s="209">
        <v>0</v>
      </c>
      <c r="AL8" s="209">
        <v>0</v>
      </c>
      <c r="AM8" s="207" t="s">
        <v>237</v>
      </c>
    </row>
    <row r="9" spans="1:39" ht="12.75">
      <c r="A9" s="204"/>
      <c r="B9" s="208">
        <v>36192</v>
      </c>
      <c r="C9" s="209">
        <v>724</v>
      </c>
      <c r="D9" s="209">
        <v>73514</v>
      </c>
      <c r="E9" s="209">
        <v>100846</v>
      </c>
      <c r="F9" s="209">
        <v>2952</v>
      </c>
      <c r="G9" s="209">
        <v>6434</v>
      </c>
      <c r="H9" s="209">
        <v>1354</v>
      </c>
      <c r="I9" s="209">
        <v>670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209">
        <v>0</v>
      </c>
      <c r="Z9" s="209">
        <v>0</v>
      </c>
      <c r="AA9" s="209">
        <v>0</v>
      </c>
      <c r="AB9" s="209">
        <v>0</v>
      </c>
      <c r="AC9" s="209">
        <v>0</v>
      </c>
      <c r="AD9" s="209">
        <v>0</v>
      </c>
      <c r="AE9" s="209">
        <v>0</v>
      </c>
      <c r="AF9" s="209">
        <v>0</v>
      </c>
      <c r="AG9" s="209">
        <v>0</v>
      </c>
      <c r="AH9" s="209">
        <v>0</v>
      </c>
      <c r="AI9" s="209">
        <v>0</v>
      </c>
      <c r="AJ9" s="209">
        <v>0</v>
      </c>
      <c r="AK9" s="209">
        <v>0</v>
      </c>
      <c r="AL9" s="209">
        <v>0</v>
      </c>
      <c r="AM9" s="207" t="s">
        <v>238</v>
      </c>
    </row>
    <row r="10" spans="1:39" ht="12.75">
      <c r="A10" s="204"/>
      <c r="B10" s="208">
        <v>36220</v>
      </c>
      <c r="C10" s="209">
        <v>22541</v>
      </c>
      <c r="D10" s="209">
        <v>122603</v>
      </c>
      <c r="E10" s="209">
        <v>33881</v>
      </c>
      <c r="F10" s="209">
        <v>1847</v>
      </c>
      <c r="G10" s="209">
        <v>3742</v>
      </c>
      <c r="H10" s="209">
        <v>1210</v>
      </c>
      <c r="I10" s="209">
        <v>670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09">
        <v>0</v>
      </c>
      <c r="AA10" s="209">
        <v>0</v>
      </c>
      <c r="AB10" s="209">
        <v>0</v>
      </c>
      <c r="AC10" s="209">
        <v>0</v>
      </c>
      <c r="AD10" s="209">
        <v>0</v>
      </c>
      <c r="AE10" s="209">
        <v>0</v>
      </c>
      <c r="AF10" s="209">
        <v>0</v>
      </c>
      <c r="AG10" s="209">
        <v>0</v>
      </c>
      <c r="AH10" s="209">
        <v>0</v>
      </c>
      <c r="AI10" s="209">
        <v>0</v>
      </c>
      <c r="AJ10" s="209">
        <v>0</v>
      </c>
      <c r="AK10" s="209">
        <v>0</v>
      </c>
      <c r="AL10" s="209">
        <v>0</v>
      </c>
      <c r="AM10" s="207" t="s">
        <v>237</v>
      </c>
    </row>
    <row r="11" spans="1:39" ht="12.75">
      <c r="A11" s="204"/>
      <c r="B11" s="208">
        <v>36251</v>
      </c>
      <c r="C11" s="209">
        <v>13576</v>
      </c>
      <c r="D11" s="209">
        <v>98490</v>
      </c>
      <c r="E11" s="209">
        <v>88390</v>
      </c>
      <c r="F11" s="209">
        <v>43589</v>
      </c>
      <c r="G11" s="209">
        <v>3662</v>
      </c>
      <c r="H11" s="209">
        <v>1893</v>
      </c>
      <c r="I11" s="209">
        <v>2160</v>
      </c>
      <c r="J11" s="209">
        <v>72</v>
      </c>
      <c r="K11" s="209">
        <v>4154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>
        <v>0</v>
      </c>
      <c r="AK11" s="209">
        <v>0</v>
      </c>
      <c r="AL11" s="209">
        <v>0</v>
      </c>
      <c r="AM11" s="207" t="s">
        <v>238</v>
      </c>
    </row>
    <row r="12" spans="1:39" ht="12.75">
      <c r="A12" s="204"/>
      <c r="B12" s="208">
        <v>36281</v>
      </c>
      <c r="C12" s="209">
        <v>33308</v>
      </c>
      <c r="D12" s="209">
        <v>90083</v>
      </c>
      <c r="E12" s="209">
        <v>107509</v>
      </c>
      <c r="F12" s="209">
        <v>13397</v>
      </c>
      <c r="G12" s="209">
        <v>3572</v>
      </c>
      <c r="H12" s="209">
        <v>3399</v>
      </c>
      <c r="I12" s="209">
        <v>492</v>
      </c>
      <c r="J12" s="209">
        <v>72</v>
      </c>
      <c r="K12" s="209">
        <v>4154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09">
        <v>0</v>
      </c>
      <c r="AA12" s="209">
        <v>0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  <c r="AL12" s="209">
        <v>0</v>
      </c>
      <c r="AM12" s="207" t="s">
        <v>237</v>
      </c>
    </row>
    <row r="13" spans="1:39" ht="12.75">
      <c r="A13" s="204"/>
      <c r="B13" s="208">
        <v>36312</v>
      </c>
      <c r="C13" s="209">
        <v>6555</v>
      </c>
      <c r="D13" s="209">
        <v>111208</v>
      </c>
      <c r="E13" s="209">
        <v>44850</v>
      </c>
      <c r="F13" s="209">
        <v>15516</v>
      </c>
      <c r="G13" s="209">
        <v>14096</v>
      </c>
      <c r="H13" s="209">
        <v>20812</v>
      </c>
      <c r="I13" s="209">
        <v>1119</v>
      </c>
      <c r="J13" s="209">
        <v>484</v>
      </c>
      <c r="K13" s="209">
        <v>5922</v>
      </c>
      <c r="L13" s="209">
        <v>-2017</v>
      </c>
      <c r="M13" s="209">
        <v>0</v>
      </c>
      <c r="N13" s="209">
        <v>0</v>
      </c>
      <c r="O13" s="209">
        <v>0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  <c r="W13" s="209">
        <v>0</v>
      </c>
      <c r="X13" s="209">
        <v>0</v>
      </c>
      <c r="Y13" s="209">
        <v>0</v>
      </c>
      <c r="Z13" s="209">
        <v>0</v>
      </c>
      <c r="AA13" s="209">
        <v>0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  <c r="AL13" s="209">
        <v>0</v>
      </c>
      <c r="AM13" s="207" t="s">
        <v>238</v>
      </c>
    </row>
    <row r="14" spans="1:39" ht="12.75">
      <c r="A14" s="204"/>
      <c r="B14" s="208">
        <v>36342</v>
      </c>
      <c r="C14" s="209">
        <v>57812</v>
      </c>
      <c r="D14" s="209">
        <v>73515</v>
      </c>
      <c r="E14" s="209">
        <v>57928</v>
      </c>
      <c r="F14" s="209">
        <v>10474</v>
      </c>
      <c r="G14" s="209">
        <v>13276</v>
      </c>
      <c r="H14" s="209">
        <v>141</v>
      </c>
      <c r="I14" s="209">
        <v>1010</v>
      </c>
      <c r="J14" s="209">
        <v>484</v>
      </c>
      <c r="K14" s="209">
        <v>6162</v>
      </c>
      <c r="L14" s="209">
        <v>-2257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09">
        <v>0</v>
      </c>
      <c r="AA14" s="209">
        <v>0</v>
      </c>
      <c r="AB14" s="209">
        <v>0</v>
      </c>
      <c r="AC14" s="209">
        <v>0</v>
      </c>
      <c r="AD14" s="209">
        <v>0</v>
      </c>
      <c r="AE14" s="209">
        <v>0</v>
      </c>
      <c r="AF14" s="209">
        <v>0</v>
      </c>
      <c r="AG14" s="209">
        <v>0</v>
      </c>
      <c r="AH14" s="209">
        <v>0</v>
      </c>
      <c r="AI14" s="209">
        <v>0</v>
      </c>
      <c r="AJ14" s="209">
        <v>0</v>
      </c>
      <c r="AK14" s="209">
        <v>0</v>
      </c>
      <c r="AL14" s="209">
        <v>0</v>
      </c>
      <c r="AM14" s="207" t="s">
        <v>237</v>
      </c>
    </row>
    <row r="15" spans="1:39" ht="12.75">
      <c r="A15" s="204"/>
      <c r="B15" s="208">
        <v>36373</v>
      </c>
      <c r="C15" s="209">
        <v>17973</v>
      </c>
      <c r="D15" s="209">
        <v>92380</v>
      </c>
      <c r="E15" s="209">
        <v>33087</v>
      </c>
      <c r="F15" s="209">
        <v>19224</v>
      </c>
      <c r="G15" s="209">
        <v>2579</v>
      </c>
      <c r="H15" s="209">
        <v>2463</v>
      </c>
      <c r="I15" s="209">
        <v>34006</v>
      </c>
      <c r="J15" s="209">
        <v>-80</v>
      </c>
      <c r="K15" s="209">
        <v>309</v>
      </c>
      <c r="L15" s="209">
        <v>3572</v>
      </c>
      <c r="M15" s="209">
        <v>13</v>
      </c>
      <c r="N15" s="209">
        <v>1432</v>
      </c>
      <c r="O15" s="209">
        <v>0</v>
      </c>
      <c r="P15" s="209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209">
        <v>0</v>
      </c>
      <c r="AH15" s="209">
        <v>0</v>
      </c>
      <c r="AI15" s="209">
        <v>0</v>
      </c>
      <c r="AJ15" s="209">
        <v>0</v>
      </c>
      <c r="AK15" s="209">
        <v>0</v>
      </c>
      <c r="AL15" s="209">
        <v>0</v>
      </c>
      <c r="AM15" s="207" t="s">
        <v>238</v>
      </c>
    </row>
    <row r="16" spans="1:39" ht="12.75">
      <c r="A16" s="204"/>
      <c r="B16" s="208">
        <v>36404</v>
      </c>
      <c r="C16" s="209">
        <v>35600</v>
      </c>
      <c r="D16" s="209">
        <v>88108</v>
      </c>
      <c r="E16" s="209">
        <v>29728</v>
      </c>
      <c r="F16" s="209">
        <v>10188</v>
      </c>
      <c r="G16" s="209">
        <v>5698</v>
      </c>
      <c r="H16" s="209">
        <v>1709</v>
      </c>
      <c r="I16" s="209">
        <v>30681</v>
      </c>
      <c r="J16" s="209">
        <v>-80</v>
      </c>
      <c r="K16" s="209">
        <v>3589</v>
      </c>
      <c r="L16" s="209">
        <v>292</v>
      </c>
      <c r="M16" s="209">
        <v>13</v>
      </c>
      <c r="N16" s="209">
        <v>1432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09">
        <v>0</v>
      </c>
      <c r="AA16" s="209">
        <v>0</v>
      </c>
      <c r="AB16" s="209">
        <v>0</v>
      </c>
      <c r="AC16" s="209">
        <v>0</v>
      </c>
      <c r="AD16" s="209">
        <v>0</v>
      </c>
      <c r="AE16" s="209">
        <v>0</v>
      </c>
      <c r="AF16" s="209">
        <v>0</v>
      </c>
      <c r="AG16" s="209">
        <v>0</v>
      </c>
      <c r="AH16" s="209">
        <v>0</v>
      </c>
      <c r="AI16" s="209">
        <v>0</v>
      </c>
      <c r="AJ16" s="209">
        <v>0</v>
      </c>
      <c r="AK16" s="209">
        <v>0</v>
      </c>
      <c r="AL16" s="209">
        <v>0</v>
      </c>
      <c r="AM16" s="207" t="s">
        <v>237</v>
      </c>
    </row>
    <row r="17" spans="1:39" ht="12.75">
      <c r="A17" s="204"/>
      <c r="B17" s="208">
        <v>36434</v>
      </c>
      <c r="C17" s="209">
        <v>9177</v>
      </c>
      <c r="D17" s="209">
        <v>52091</v>
      </c>
      <c r="E17" s="209">
        <v>8840</v>
      </c>
      <c r="F17" s="209">
        <v>4870</v>
      </c>
      <c r="G17" s="209">
        <v>4827</v>
      </c>
      <c r="H17" s="209">
        <v>13323</v>
      </c>
      <c r="I17" s="209">
        <v>-7175</v>
      </c>
      <c r="J17" s="209">
        <v>1423</v>
      </c>
      <c r="K17" s="209">
        <v>384</v>
      </c>
      <c r="L17" s="209">
        <v>278</v>
      </c>
      <c r="M17" s="209">
        <v>6985</v>
      </c>
      <c r="N17" s="209">
        <v>227</v>
      </c>
      <c r="O17" s="209">
        <v>240</v>
      </c>
      <c r="P17" s="209">
        <v>56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09">
        <v>0</v>
      </c>
      <c r="AE17" s="209">
        <v>0</v>
      </c>
      <c r="AF17" s="209">
        <v>0</v>
      </c>
      <c r="AG17" s="209">
        <v>0</v>
      </c>
      <c r="AH17" s="209">
        <v>0</v>
      </c>
      <c r="AI17" s="209">
        <v>0</v>
      </c>
      <c r="AJ17" s="209">
        <v>0</v>
      </c>
      <c r="AK17" s="209">
        <v>0</v>
      </c>
      <c r="AL17" s="209">
        <v>0</v>
      </c>
      <c r="AM17" s="207" t="s">
        <v>238</v>
      </c>
    </row>
    <row r="18" spans="1:39" ht="12.75">
      <c r="A18" s="204"/>
      <c r="B18" s="208">
        <v>36465</v>
      </c>
      <c r="C18" s="209">
        <v>21566</v>
      </c>
      <c r="D18" s="209">
        <v>44918</v>
      </c>
      <c r="E18" s="209">
        <v>5794</v>
      </c>
      <c r="F18" s="209">
        <v>3493</v>
      </c>
      <c r="G18" s="209">
        <v>4941</v>
      </c>
      <c r="H18" s="209">
        <v>13013</v>
      </c>
      <c r="I18" s="209">
        <v>-7298</v>
      </c>
      <c r="J18" s="209">
        <v>949</v>
      </c>
      <c r="K18" s="209">
        <v>492</v>
      </c>
      <c r="L18" s="209">
        <v>213</v>
      </c>
      <c r="M18" s="209">
        <v>6942</v>
      </c>
      <c r="N18" s="209">
        <v>227</v>
      </c>
      <c r="O18" s="209">
        <v>240</v>
      </c>
      <c r="P18" s="209">
        <v>56</v>
      </c>
      <c r="Q18" s="209">
        <v>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209">
        <v>0</v>
      </c>
      <c r="Z18" s="209">
        <v>0</v>
      </c>
      <c r="AA18" s="209">
        <v>0</v>
      </c>
      <c r="AB18" s="209">
        <v>0</v>
      </c>
      <c r="AC18" s="209">
        <v>0</v>
      </c>
      <c r="AD18" s="209">
        <v>0</v>
      </c>
      <c r="AE18" s="209">
        <v>0</v>
      </c>
      <c r="AF18" s="209">
        <v>0</v>
      </c>
      <c r="AG18" s="209">
        <v>0</v>
      </c>
      <c r="AH18" s="209">
        <v>0</v>
      </c>
      <c r="AI18" s="209">
        <v>0</v>
      </c>
      <c r="AJ18" s="209">
        <v>0</v>
      </c>
      <c r="AK18" s="209">
        <v>0</v>
      </c>
      <c r="AL18" s="209">
        <v>0</v>
      </c>
      <c r="AM18" s="207" t="s">
        <v>237</v>
      </c>
    </row>
    <row r="19" spans="1:39" ht="12.75">
      <c r="A19" s="204"/>
      <c r="B19" s="208">
        <v>36495</v>
      </c>
      <c r="C19" s="209">
        <v>9334</v>
      </c>
      <c r="D19" s="209">
        <v>90775</v>
      </c>
      <c r="E19" s="209">
        <v>92161</v>
      </c>
      <c r="F19" s="209">
        <v>12514</v>
      </c>
      <c r="G19" s="209">
        <v>4501</v>
      </c>
      <c r="H19" s="209">
        <v>3851</v>
      </c>
      <c r="I19" s="209">
        <v>655</v>
      </c>
      <c r="J19" s="209">
        <v>828</v>
      </c>
      <c r="K19" s="209">
        <v>203</v>
      </c>
      <c r="L19" s="209">
        <v>3333</v>
      </c>
      <c r="M19" s="209">
        <v>581</v>
      </c>
      <c r="N19" s="209">
        <v>90</v>
      </c>
      <c r="O19" s="209">
        <v>167</v>
      </c>
      <c r="P19" s="209">
        <v>0</v>
      </c>
      <c r="Q19" s="209">
        <v>0</v>
      </c>
      <c r="R19" s="209">
        <v>179</v>
      </c>
      <c r="S19" s="209">
        <v>196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09">
        <v>0</v>
      </c>
      <c r="AE19" s="209">
        <v>0</v>
      </c>
      <c r="AF19" s="209">
        <v>0</v>
      </c>
      <c r="AG19" s="209">
        <v>0</v>
      </c>
      <c r="AH19" s="209">
        <v>0</v>
      </c>
      <c r="AI19" s="209">
        <v>0</v>
      </c>
      <c r="AJ19" s="209">
        <v>0</v>
      </c>
      <c r="AK19" s="209">
        <v>0</v>
      </c>
      <c r="AL19" s="209">
        <v>0</v>
      </c>
      <c r="AM19" s="207" t="s">
        <v>238</v>
      </c>
    </row>
    <row r="20" spans="1:39" ht="12.75">
      <c r="A20" s="204"/>
      <c r="B20" s="208">
        <v>36526</v>
      </c>
      <c r="C20" s="209">
        <v>51587</v>
      </c>
      <c r="D20" s="209">
        <v>137822</v>
      </c>
      <c r="E20" s="209">
        <v>7018</v>
      </c>
      <c r="F20" s="209">
        <v>12343</v>
      </c>
      <c r="G20" s="209">
        <v>1008</v>
      </c>
      <c r="H20" s="209">
        <v>3609</v>
      </c>
      <c r="I20" s="209">
        <v>703</v>
      </c>
      <c r="J20" s="209">
        <v>732</v>
      </c>
      <c r="K20" s="209">
        <v>127</v>
      </c>
      <c r="L20" s="209">
        <v>3206</v>
      </c>
      <c r="M20" s="209">
        <v>581</v>
      </c>
      <c r="N20" s="209">
        <v>115</v>
      </c>
      <c r="O20" s="209">
        <v>142</v>
      </c>
      <c r="P20" s="209">
        <v>0</v>
      </c>
      <c r="Q20" s="209">
        <v>0</v>
      </c>
      <c r="R20" s="209">
        <v>375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09">
        <v>0</v>
      </c>
      <c r="AE20" s="209">
        <v>0</v>
      </c>
      <c r="AF20" s="209">
        <v>0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0</v>
      </c>
      <c r="AM20" s="207" t="s">
        <v>237</v>
      </c>
    </row>
    <row r="21" spans="1:39" ht="12.75">
      <c r="A21" s="204"/>
      <c r="B21" s="208">
        <v>36557</v>
      </c>
      <c r="C21" s="209">
        <v>8561</v>
      </c>
      <c r="D21" s="209">
        <v>60370</v>
      </c>
      <c r="E21" s="209">
        <v>167781</v>
      </c>
      <c r="F21" s="209">
        <v>11758</v>
      </c>
      <c r="G21" s="209">
        <v>26014</v>
      </c>
      <c r="H21" s="209">
        <v>2620</v>
      </c>
      <c r="I21" s="209">
        <v>22338</v>
      </c>
      <c r="J21" s="209">
        <v>-1676</v>
      </c>
      <c r="K21" s="209">
        <v>677</v>
      </c>
      <c r="L21" s="209">
        <v>280</v>
      </c>
      <c r="M21" s="209">
        <v>799</v>
      </c>
      <c r="N21" s="209">
        <v>6427</v>
      </c>
      <c r="O21" s="209">
        <v>11304</v>
      </c>
      <c r="P21" s="209">
        <v>519</v>
      </c>
      <c r="Q21" s="209">
        <v>19</v>
      </c>
      <c r="R21" s="209">
        <v>0</v>
      </c>
      <c r="S21" s="209">
        <v>97</v>
      </c>
      <c r="T21" s="209">
        <v>9</v>
      </c>
      <c r="U21" s="209">
        <v>224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0</v>
      </c>
      <c r="AC21" s="209">
        <v>0</v>
      </c>
      <c r="AD21" s="209">
        <v>0</v>
      </c>
      <c r="AE21" s="209">
        <v>0</v>
      </c>
      <c r="AF21" s="209">
        <v>0</v>
      </c>
      <c r="AG21" s="209">
        <v>0</v>
      </c>
      <c r="AH21" s="209">
        <v>0</v>
      </c>
      <c r="AI21" s="209">
        <v>0</v>
      </c>
      <c r="AJ21" s="209">
        <v>0</v>
      </c>
      <c r="AK21" s="209">
        <v>0</v>
      </c>
      <c r="AL21" s="209">
        <v>0</v>
      </c>
      <c r="AM21" s="207" t="s">
        <v>238</v>
      </c>
    </row>
    <row r="22" spans="1:39" ht="12.75">
      <c r="A22" s="204"/>
      <c r="B22" s="208">
        <v>36586</v>
      </c>
      <c r="C22" s="209">
        <v>24902</v>
      </c>
      <c r="D22" s="209">
        <v>72373</v>
      </c>
      <c r="E22" s="209">
        <v>149464</v>
      </c>
      <c r="F22" s="209">
        <v>8997</v>
      </c>
      <c r="G22" s="209">
        <v>19057</v>
      </c>
      <c r="H22" s="209">
        <v>2477</v>
      </c>
      <c r="I22" s="209">
        <v>22318</v>
      </c>
      <c r="J22" s="209">
        <v>-1662</v>
      </c>
      <c r="K22" s="209">
        <v>677</v>
      </c>
      <c r="L22" s="209">
        <v>779</v>
      </c>
      <c r="M22" s="209">
        <v>195</v>
      </c>
      <c r="N22" s="209">
        <v>16998</v>
      </c>
      <c r="O22" s="209">
        <v>678</v>
      </c>
      <c r="P22" s="209">
        <v>538</v>
      </c>
      <c r="Q22" s="209">
        <v>0</v>
      </c>
      <c r="R22" s="209">
        <v>84</v>
      </c>
      <c r="S22" s="209">
        <v>13</v>
      </c>
      <c r="T22" s="209">
        <v>233</v>
      </c>
      <c r="U22" s="209">
        <v>0</v>
      </c>
      <c r="V22" s="209">
        <v>0</v>
      </c>
      <c r="W22" s="209">
        <v>0</v>
      </c>
      <c r="X22" s="209">
        <v>0</v>
      </c>
      <c r="Y22" s="209">
        <v>0</v>
      </c>
      <c r="Z22" s="209">
        <v>0</v>
      </c>
      <c r="AA22" s="209">
        <v>0</v>
      </c>
      <c r="AB22" s="209">
        <v>0</v>
      </c>
      <c r="AC22" s="209">
        <v>0</v>
      </c>
      <c r="AD22" s="209">
        <v>0</v>
      </c>
      <c r="AE22" s="209">
        <v>0</v>
      </c>
      <c r="AF22" s="209">
        <v>0</v>
      </c>
      <c r="AG22" s="209">
        <v>0</v>
      </c>
      <c r="AH22" s="209">
        <v>0</v>
      </c>
      <c r="AI22" s="209">
        <v>0</v>
      </c>
      <c r="AJ22" s="209">
        <v>0</v>
      </c>
      <c r="AK22" s="209">
        <v>0</v>
      </c>
      <c r="AL22" s="209">
        <v>0</v>
      </c>
      <c r="AM22" s="207" t="s">
        <v>237</v>
      </c>
    </row>
    <row r="23" spans="1:39" ht="12.75">
      <c r="A23" s="204"/>
      <c r="B23" s="208">
        <v>36617</v>
      </c>
      <c r="C23" s="209">
        <v>5744</v>
      </c>
      <c r="D23" s="209">
        <v>88812</v>
      </c>
      <c r="E23" s="209">
        <v>73915</v>
      </c>
      <c r="F23" s="209">
        <v>6913</v>
      </c>
      <c r="G23" s="209">
        <v>10480</v>
      </c>
      <c r="H23" s="209">
        <v>-259</v>
      </c>
      <c r="I23" s="209">
        <v>5261</v>
      </c>
      <c r="J23" s="209">
        <v>430</v>
      </c>
      <c r="K23" s="209">
        <v>116</v>
      </c>
      <c r="L23" s="209">
        <v>1600</v>
      </c>
      <c r="M23" s="209">
        <v>112</v>
      </c>
      <c r="N23" s="209">
        <v>166</v>
      </c>
      <c r="O23" s="209">
        <v>152</v>
      </c>
      <c r="P23" s="209">
        <v>0</v>
      </c>
      <c r="Q23" s="209">
        <v>282</v>
      </c>
      <c r="R23" s="209">
        <v>75</v>
      </c>
      <c r="S23" s="209">
        <v>0</v>
      </c>
      <c r="T23" s="209">
        <v>0</v>
      </c>
      <c r="U23" s="209">
        <v>492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09">
        <v>0</v>
      </c>
      <c r="AI23" s="209">
        <v>0</v>
      </c>
      <c r="AJ23" s="209">
        <v>0</v>
      </c>
      <c r="AK23" s="209">
        <v>0</v>
      </c>
      <c r="AL23" s="209">
        <v>0</v>
      </c>
      <c r="AM23" s="207" t="s">
        <v>238</v>
      </c>
    </row>
    <row r="24" spans="1:39" ht="12.75">
      <c r="A24" s="204"/>
      <c r="B24" s="208">
        <v>36647</v>
      </c>
      <c r="C24" s="209">
        <v>33042</v>
      </c>
      <c r="D24" s="209">
        <v>115076</v>
      </c>
      <c r="E24" s="209">
        <v>22022</v>
      </c>
      <c r="F24" s="209">
        <v>7991</v>
      </c>
      <c r="G24" s="209">
        <v>8209</v>
      </c>
      <c r="H24" s="209">
        <v>-471</v>
      </c>
      <c r="I24" s="209">
        <v>4997</v>
      </c>
      <c r="J24" s="209">
        <v>430</v>
      </c>
      <c r="K24" s="209">
        <v>116</v>
      </c>
      <c r="L24" s="209">
        <v>1712</v>
      </c>
      <c r="M24" s="209">
        <v>166</v>
      </c>
      <c r="N24" s="209">
        <v>0</v>
      </c>
      <c r="O24" s="209">
        <v>152</v>
      </c>
      <c r="P24" s="209">
        <v>0</v>
      </c>
      <c r="Q24" s="209">
        <v>282</v>
      </c>
      <c r="R24" s="209">
        <v>75</v>
      </c>
      <c r="S24" s="209">
        <v>0</v>
      </c>
      <c r="T24" s="209">
        <v>492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v>0</v>
      </c>
      <c r="AB24" s="209">
        <v>0</v>
      </c>
      <c r="AC24" s="209">
        <v>0</v>
      </c>
      <c r="AD24" s="209">
        <v>0</v>
      </c>
      <c r="AE24" s="209">
        <v>0</v>
      </c>
      <c r="AF24" s="209">
        <v>0</v>
      </c>
      <c r="AG24" s="209">
        <v>0</v>
      </c>
      <c r="AH24" s="209">
        <v>0</v>
      </c>
      <c r="AI24" s="209">
        <v>0</v>
      </c>
      <c r="AJ24" s="209">
        <v>0</v>
      </c>
      <c r="AK24" s="209">
        <v>0</v>
      </c>
      <c r="AL24" s="209">
        <v>0</v>
      </c>
      <c r="AM24" s="207" t="s">
        <v>237</v>
      </c>
    </row>
    <row r="25" spans="1:39" ht="12.75">
      <c r="A25" s="204"/>
      <c r="B25" s="208">
        <v>36678</v>
      </c>
      <c r="C25" s="209">
        <v>9146</v>
      </c>
      <c r="D25" s="209">
        <v>126060</v>
      </c>
      <c r="E25" s="209">
        <v>101785</v>
      </c>
      <c r="F25" s="209">
        <v>23437</v>
      </c>
      <c r="G25" s="209">
        <v>14176</v>
      </c>
      <c r="H25" s="209">
        <v>11759</v>
      </c>
      <c r="I25" s="209">
        <v>7297</v>
      </c>
      <c r="J25" s="209">
        <v>472</v>
      </c>
      <c r="K25" s="209">
        <v>32</v>
      </c>
      <c r="L25" s="209">
        <v>239</v>
      </c>
      <c r="M25" s="209">
        <v>124</v>
      </c>
      <c r="N25" s="209">
        <v>0</v>
      </c>
      <c r="O25" s="209">
        <v>7</v>
      </c>
      <c r="P25" s="209">
        <v>460</v>
      </c>
      <c r="Q25" s="209">
        <v>176</v>
      </c>
      <c r="R25" s="209">
        <v>128</v>
      </c>
      <c r="S25" s="209">
        <v>10</v>
      </c>
      <c r="T25" s="209">
        <v>0</v>
      </c>
      <c r="U25" s="209">
        <v>0</v>
      </c>
      <c r="V25" s="209">
        <v>0</v>
      </c>
      <c r="W25" s="209">
        <v>300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0</v>
      </c>
      <c r="AE25" s="209">
        <v>0</v>
      </c>
      <c r="AF25" s="209">
        <v>0</v>
      </c>
      <c r="AG25" s="209">
        <v>0</v>
      </c>
      <c r="AH25" s="209">
        <v>0</v>
      </c>
      <c r="AI25" s="209">
        <v>0</v>
      </c>
      <c r="AJ25" s="209">
        <v>0</v>
      </c>
      <c r="AK25" s="209">
        <v>0</v>
      </c>
      <c r="AL25" s="209">
        <v>0</v>
      </c>
      <c r="AM25" s="207" t="s">
        <v>238</v>
      </c>
    </row>
    <row r="26" spans="1:39" ht="12.75">
      <c r="A26" s="204"/>
      <c r="B26" s="208">
        <v>36708</v>
      </c>
      <c r="C26" s="209">
        <v>95821</v>
      </c>
      <c r="D26" s="209">
        <v>139851</v>
      </c>
      <c r="E26" s="209">
        <v>32541</v>
      </c>
      <c r="F26" s="209">
        <v>7864</v>
      </c>
      <c r="G26" s="209">
        <v>8316</v>
      </c>
      <c r="H26" s="209">
        <v>2179</v>
      </c>
      <c r="I26" s="209">
        <v>7260</v>
      </c>
      <c r="J26" s="209">
        <v>300</v>
      </c>
      <c r="K26" s="209">
        <v>32</v>
      </c>
      <c r="L26" s="209">
        <v>239</v>
      </c>
      <c r="M26" s="209">
        <v>124</v>
      </c>
      <c r="N26" s="209">
        <v>211</v>
      </c>
      <c r="O26" s="209">
        <v>-204</v>
      </c>
      <c r="P26" s="209">
        <v>460</v>
      </c>
      <c r="Q26" s="209">
        <v>176</v>
      </c>
      <c r="R26" s="209">
        <v>128</v>
      </c>
      <c r="S26" s="209">
        <v>10</v>
      </c>
      <c r="T26" s="209">
        <v>0</v>
      </c>
      <c r="U26" s="209">
        <v>0</v>
      </c>
      <c r="V26" s="209">
        <v>0</v>
      </c>
      <c r="W26" s="209">
        <v>300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0</v>
      </c>
      <c r="AE26" s="209">
        <v>0</v>
      </c>
      <c r="AF26" s="209">
        <v>0</v>
      </c>
      <c r="AG26" s="209">
        <v>0</v>
      </c>
      <c r="AH26" s="209">
        <v>0</v>
      </c>
      <c r="AI26" s="209">
        <v>0</v>
      </c>
      <c r="AJ26" s="209">
        <v>0</v>
      </c>
      <c r="AK26" s="209">
        <v>0</v>
      </c>
      <c r="AL26" s="209">
        <v>0</v>
      </c>
      <c r="AM26" s="207" t="s">
        <v>237</v>
      </c>
    </row>
    <row r="27" spans="1:39" ht="12.75">
      <c r="A27" s="204"/>
      <c r="B27" s="208">
        <v>36739</v>
      </c>
      <c r="C27" s="209">
        <v>9415</v>
      </c>
      <c r="D27" s="209">
        <v>48503</v>
      </c>
      <c r="E27" s="209">
        <v>127444</v>
      </c>
      <c r="F27" s="209">
        <v>9062</v>
      </c>
      <c r="G27" s="209">
        <v>2904</v>
      </c>
      <c r="H27" s="209">
        <v>14411</v>
      </c>
      <c r="I27" s="209">
        <v>14223</v>
      </c>
      <c r="J27" s="209">
        <v>-3390</v>
      </c>
      <c r="K27" s="209">
        <v>662</v>
      </c>
      <c r="L27" s="209">
        <v>6212</v>
      </c>
      <c r="M27" s="209">
        <v>33</v>
      </c>
      <c r="N27" s="209">
        <v>0</v>
      </c>
      <c r="O27" s="209">
        <v>0</v>
      </c>
      <c r="P27" s="209">
        <v>90</v>
      </c>
      <c r="Q27" s="209">
        <v>0</v>
      </c>
      <c r="R27" s="209">
        <v>0</v>
      </c>
      <c r="S27" s="209">
        <v>230</v>
      </c>
      <c r="T27" s="209">
        <v>0</v>
      </c>
      <c r="U27" s="209">
        <v>0</v>
      </c>
      <c r="V27" s="209">
        <v>0</v>
      </c>
      <c r="W27" s="209">
        <v>803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09">
        <v>0</v>
      </c>
      <c r="AF27" s="209">
        <v>0</v>
      </c>
      <c r="AG27" s="209">
        <v>0</v>
      </c>
      <c r="AH27" s="209">
        <v>0</v>
      </c>
      <c r="AI27" s="209">
        <v>0</v>
      </c>
      <c r="AJ27" s="209">
        <v>0</v>
      </c>
      <c r="AK27" s="209">
        <v>0</v>
      </c>
      <c r="AL27" s="209">
        <v>0</v>
      </c>
      <c r="AM27" s="207" t="s">
        <v>238</v>
      </c>
    </row>
    <row r="28" spans="1:39" ht="12.75">
      <c r="A28" s="204"/>
      <c r="B28" s="208">
        <v>36770</v>
      </c>
      <c r="C28" s="209">
        <v>31473</v>
      </c>
      <c r="D28" s="209">
        <v>178666</v>
      </c>
      <c r="E28" s="209">
        <v>9928</v>
      </c>
      <c r="F28" s="209">
        <v>-5630</v>
      </c>
      <c r="G28" s="209">
        <v>1840</v>
      </c>
      <c r="H28" s="209">
        <v>934</v>
      </c>
      <c r="I28" s="209">
        <v>13701</v>
      </c>
      <c r="J28" s="209">
        <v>-3004</v>
      </c>
      <c r="K28" s="209">
        <v>306</v>
      </c>
      <c r="L28" s="209">
        <v>1265</v>
      </c>
      <c r="M28" s="209">
        <v>0</v>
      </c>
      <c r="N28" s="209">
        <v>0</v>
      </c>
      <c r="O28" s="209">
        <v>0</v>
      </c>
      <c r="P28" s="209">
        <v>90</v>
      </c>
      <c r="Q28" s="209">
        <v>0</v>
      </c>
      <c r="R28" s="209">
        <v>0</v>
      </c>
      <c r="S28" s="209">
        <v>230</v>
      </c>
      <c r="T28" s="209">
        <v>0</v>
      </c>
      <c r="U28" s="209">
        <v>0</v>
      </c>
      <c r="V28" s="209">
        <v>0</v>
      </c>
      <c r="W28" s="209">
        <v>803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0</v>
      </c>
      <c r="AE28" s="209">
        <v>0</v>
      </c>
      <c r="AF28" s="209">
        <v>0</v>
      </c>
      <c r="AG28" s="209">
        <v>0</v>
      </c>
      <c r="AH28" s="209">
        <v>0</v>
      </c>
      <c r="AI28" s="209">
        <v>0</v>
      </c>
      <c r="AJ28" s="209">
        <v>0</v>
      </c>
      <c r="AK28" s="209">
        <v>0</v>
      </c>
      <c r="AL28" s="209">
        <v>0</v>
      </c>
      <c r="AM28" s="207" t="s">
        <v>237</v>
      </c>
    </row>
    <row r="29" spans="1:39" ht="12.75">
      <c r="A29" s="204"/>
      <c r="B29" s="208">
        <v>36800</v>
      </c>
      <c r="C29" s="209">
        <v>4419</v>
      </c>
      <c r="D29" s="209">
        <v>34068</v>
      </c>
      <c r="E29" s="209">
        <v>91527</v>
      </c>
      <c r="F29" s="209">
        <v>34631</v>
      </c>
      <c r="G29" s="209">
        <v>9161</v>
      </c>
      <c r="H29" s="209">
        <v>5596</v>
      </c>
      <c r="I29" s="209">
        <v>4375</v>
      </c>
      <c r="J29" s="209">
        <v>412</v>
      </c>
      <c r="K29" s="209">
        <v>1128</v>
      </c>
      <c r="L29" s="209">
        <v>1357</v>
      </c>
      <c r="M29" s="209">
        <v>291</v>
      </c>
      <c r="N29" s="209">
        <v>11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09">
        <v>0</v>
      </c>
      <c r="AI29" s="209">
        <v>0</v>
      </c>
      <c r="AJ29" s="209">
        <v>0</v>
      </c>
      <c r="AK29" s="209">
        <v>0</v>
      </c>
      <c r="AL29" s="209">
        <v>0</v>
      </c>
      <c r="AM29" s="207" t="s">
        <v>238</v>
      </c>
    </row>
    <row r="30" spans="1:39" ht="12.75">
      <c r="A30" s="204"/>
      <c r="B30" s="208">
        <v>36831</v>
      </c>
      <c r="C30" s="209">
        <v>31361</v>
      </c>
      <c r="D30" s="209">
        <v>76026</v>
      </c>
      <c r="E30" s="209">
        <v>56350</v>
      </c>
      <c r="F30" s="209">
        <v>6484</v>
      </c>
      <c r="G30" s="209">
        <v>7803</v>
      </c>
      <c r="H30" s="209">
        <v>5412</v>
      </c>
      <c r="I30" s="209">
        <v>341</v>
      </c>
      <c r="J30" s="209">
        <v>1097</v>
      </c>
      <c r="K30" s="209">
        <v>517</v>
      </c>
      <c r="L30" s="209">
        <v>1343</v>
      </c>
      <c r="M30" s="209">
        <v>231</v>
      </c>
      <c r="N30" s="209">
        <v>11</v>
      </c>
      <c r="O30" s="209">
        <v>0</v>
      </c>
      <c r="P30" s="209">
        <v>0</v>
      </c>
      <c r="Q30" s="209">
        <v>0</v>
      </c>
      <c r="R30" s="209">
        <v>0</v>
      </c>
      <c r="S30" s="209">
        <v>0</v>
      </c>
      <c r="T30" s="209">
        <v>0</v>
      </c>
      <c r="U30" s="209">
        <v>0</v>
      </c>
      <c r="V30" s="209">
        <v>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0</v>
      </c>
      <c r="AE30" s="209">
        <v>0</v>
      </c>
      <c r="AF30" s="209">
        <v>0</v>
      </c>
      <c r="AG30" s="209">
        <v>0</v>
      </c>
      <c r="AH30" s="209">
        <v>0</v>
      </c>
      <c r="AI30" s="209">
        <v>0</v>
      </c>
      <c r="AJ30" s="209">
        <v>0</v>
      </c>
      <c r="AK30" s="209">
        <v>0</v>
      </c>
      <c r="AL30" s="209">
        <v>0</v>
      </c>
      <c r="AM30" s="207" t="s">
        <v>237</v>
      </c>
    </row>
    <row r="31" spans="1:39" ht="12.75">
      <c r="A31" s="204"/>
      <c r="B31" s="208">
        <v>36861</v>
      </c>
      <c r="C31" s="209">
        <v>1804</v>
      </c>
      <c r="D31" s="209">
        <v>66303</v>
      </c>
      <c r="E31" s="209">
        <v>37667</v>
      </c>
      <c r="F31" s="209">
        <v>17053</v>
      </c>
      <c r="G31" s="209">
        <v>2170</v>
      </c>
      <c r="H31" s="209">
        <v>13856</v>
      </c>
      <c r="I31" s="209">
        <v>1103</v>
      </c>
      <c r="J31" s="209">
        <v>1737</v>
      </c>
      <c r="K31" s="209">
        <v>266</v>
      </c>
      <c r="L31" s="209">
        <v>115</v>
      </c>
      <c r="M31" s="209">
        <v>231</v>
      </c>
      <c r="N31" s="209">
        <v>271</v>
      </c>
      <c r="O31" s="209">
        <v>2907</v>
      </c>
      <c r="P31" s="209">
        <v>0</v>
      </c>
      <c r="Q31" s="209">
        <v>0</v>
      </c>
      <c r="R31" s="209">
        <v>0</v>
      </c>
      <c r="S31" s="209">
        <v>130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96</v>
      </c>
      <c r="AA31" s="209">
        <v>0</v>
      </c>
      <c r="AB31" s="209">
        <v>329</v>
      </c>
      <c r="AC31" s="209">
        <v>0</v>
      </c>
      <c r="AD31" s="209">
        <v>0</v>
      </c>
      <c r="AE31" s="209">
        <v>0</v>
      </c>
      <c r="AF31" s="209">
        <v>0</v>
      </c>
      <c r="AG31" s="209">
        <v>0</v>
      </c>
      <c r="AH31" s="209">
        <v>0</v>
      </c>
      <c r="AI31" s="209">
        <v>0</v>
      </c>
      <c r="AJ31" s="209">
        <v>0</v>
      </c>
      <c r="AK31" s="209">
        <v>0</v>
      </c>
      <c r="AL31" s="209">
        <v>0</v>
      </c>
      <c r="AM31" s="207" t="s">
        <v>238</v>
      </c>
    </row>
    <row r="32" spans="1:39" ht="12.75">
      <c r="A32" s="204"/>
      <c r="B32" s="208">
        <v>36892</v>
      </c>
      <c r="C32" s="209">
        <v>19993</v>
      </c>
      <c r="D32" s="209">
        <v>59964</v>
      </c>
      <c r="E32" s="209">
        <v>35539</v>
      </c>
      <c r="F32" s="209">
        <v>9556</v>
      </c>
      <c r="G32" s="209">
        <v>13627</v>
      </c>
      <c r="H32" s="209">
        <v>342</v>
      </c>
      <c r="I32" s="209">
        <v>1024</v>
      </c>
      <c r="J32" s="209">
        <v>1821</v>
      </c>
      <c r="K32" s="209">
        <v>208</v>
      </c>
      <c r="L32" s="209">
        <v>533</v>
      </c>
      <c r="M32" s="209">
        <v>148</v>
      </c>
      <c r="N32" s="209">
        <v>392</v>
      </c>
      <c r="O32" s="209">
        <v>2336</v>
      </c>
      <c r="P32" s="209">
        <v>0</v>
      </c>
      <c r="Q32" s="209">
        <v>0</v>
      </c>
      <c r="R32" s="209">
        <v>40</v>
      </c>
      <c r="S32" s="209">
        <v>90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96</v>
      </c>
      <c r="Z32" s="209">
        <v>0</v>
      </c>
      <c r="AA32" s="209">
        <v>0</v>
      </c>
      <c r="AB32" s="209">
        <v>329</v>
      </c>
      <c r="AC32" s="209">
        <v>0</v>
      </c>
      <c r="AD32" s="209">
        <v>0</v>
      </c>
      <c r="AE32" s="209">
        <v>0</v>
      </c>
      <c r="AF32" s="209">
        <v>0</v>
      </c>
      <c r="AG32" s="209">
        <v>0</v>
      </c>
      <c r="AH32" s="209">
        <v>0</v>
      </c>
      <c r="AI32" s="209">
        <v>0</v>
      </c>
      <c r="AJ32" s="209">
        <v>0</v>
      </c>
      <c r="AK32" s="209">
        <v>0</v>
      </c>
      <c r="AL32" s="209">
        <v>0</v>
      </c>
      <c r="AM32" s="207" t="s">
        <v>237</v>
      </c>
    </row>
    <row r="33" spans="1:39" ht="12.75">
      <c r="A33" s="204"/>
      <c r="B33" s="208">
        <v>36923</v>
      </c>
      <c r="C33" s="209">
        <v>240</v>
      </c>
      <c r="D33" s="209">
        <v>15910</v>
      </c>
      <c r="E33" s="209">
        <v>39608</v>
      </c>
      <c r="F33" s="209">
        <v>6673</v>
      </c>
      <c r="G33" s="209">
        <v>2288</v>
      </c>
      <c r="H33" s="209">
        <v>4935</v>
      </c>
      <c r="I33" s="209">
        <v>3876</v>
      </c>
      <c r="J33" s="209">
        <v>239</v>
      </c>
      <c r="K33" s="209">
        <v>985</v>
      </c>
      <c r="L33" s="209">
        <v>304</v>
      </c>
      <c r="M33" s="209">
        <v>5839</v>
      </c>
      <c r="N33" s="209">
        <v>52</v>
      </c>
      <c r="O33" s="209">
        <v>101</v>
      </c>
      <c r="P33" s="209">
        <v>1201</v>
      </c>
      <c r="Q33" s="209">
        <v>452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209">
        <v>0</v>
      </c>
      <c r="AF33" s="209">
        <v>0</v>
      </c>
      <c r="AG33" s="209">
        <v>0</v>
      </c>
      <c r="AH33" s="209">
        <v>0</v>
      </c>
      <c r="AI33" s="209">
        <v>0</v>
      </c>
      <c r="AJ33" s="209">
        <v>0</v>
      </c>
      <c r="AK33" s="209">
        <v>0</v>
      </c>
      <c r="AL33" s="209">
        <v>0</v>
      </c>
      <c r="AM33" s="207" t="s">
        <v>238</v>
      </c>
    </row>
    <row r="34" spans="1:39" ht="12.75">
      <c r="A34" s="204"/>
      <c r="B34" s="208">
        <v>36951</v>
      </c>
      <c r="C34" s="209">
        <v>9046</v>
      </c>
      <c r="D34" s="209">
        <v>43493</v>
      </c>
      <c r="E34" s="209">
        <v>7571</v>
      </c>
      <c r="F34" s="209">
        <v>5995</v>
      </c>
      <c r="G34" s="209">
        <v>3715</v>
      </c>
      <c r="H34" s="209">
        <v>3670</v>
      </c>
      <c r="I34" s="209">
        <v>279</v>
      </c>
      <c r="J34" s="209">
        <v>596</v>
      </c>
      <c r="K34" s="209">
        <v>578</v>
      </c>
      <c r="L34" s="209">
        <v>932</v>
      </c>
      <c r="M34" s="209">
        <v>5022</v>
      </c>
      <c r="N34" s="209">
        <v>119</v>
      </c>
      <c r="O34" s="209">
        <v>251</v>
      </c>
      <c r="P34" s="209">
        <v>1037</v>
      </c>
      <c r="Q34" s="209">
        <v>399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7" t="s">
        <v>237</v>
      </c>
    </row>
    <row r="35" spans="1:39" ht="12.75">
      <c r="A35" s="204"/>
      <c r="B35" s="208">
        <v>36982</v>
      </c>
      <c r="C35" s="209">
        <v>753</v>
      </c>
      <c r="D35" s="209">
        <v>13772</v>
      </c>
      <c r="E35" s="209">
        <v>13968</v>
      </c>
      <c r="F35" s="209">
        <v>12573</v>
      </c>
      <c r="G35" s="209">
        <v>2779</v>
      </c>
      <c r="H35" s="209">
        <v>5650</v>
      </c>
      <c r="I35" s="209">
        <v>674</v>
      </c>
      <c r="J35" s="209">
        <v>1530</v>
      </c>
      <c r="K35" s="209">
        <v>322</v>
      </c>
      <c r="L35" s="209">
        <v>0</v>
      </c>
      <c r="M35" s="209">
        <v>92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30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209">
        <v>0</v>
      </c>
      <c r="AF35" s="209">
        <v>0</v>
      </c>
      <c r="AG35" s="209">
        <v>0</v>
      </c>
      <c r="AH35" s="209">
        <v>0</v>
      </c>
      <c r="AI35" s="209">
        <v>0</v>
      </c>
      <c r="AJ35" s="209">
        <v>0</v>
      </c>
      <c r="AK35" s="209">
        <v>0</v>
      </c>
      <c r="AL35" s="209">
        <v>0</v>
      </c>
      <c r="AM35" s="207" t="s">
        <v>238</v>
      </c>
    </row>
    <row r="36" spans="1:39" ht="12.75">
      <c r="A36" s="204"/>
      <c r="B36" s="208">
        <v>37012</v>
      </c>
      <c r="C36" s="209">
        <v>12673</v>
      </c>
      <c r="D36" s="209">
        <v>20961</v>
      </c>
      <c r="E36" s="209">
        <v>6855</v>
      </c>
      <c r="F36" s="209">
        <v>5064</v>
      </c>
      <c r="G36" s="209">
        <v>3297</v>
      </c>
      <c r="H36" s="209">
        <v>1391</v>
      </c>
      <c r="I36" s="209">
        <v>1458</v>
      </c>
      <c r="J36" s="209">
        <v>126</v>
      </c>
      <c r="K36" s="209">
        <v>196</v>
      </c>
      <c r="L36" s="209">
        <v>0</v>
      </c>
      <c r="M36" s="209">
        <v>92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30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209">
        <v>0</v>
      </c>
      <c r="AF36" s="209">
        <v>0</v>
      </c>
      <c r="AG36" s="209">
        <v>0</v>
      </c>
      <c r="AH36" s="209">
        <v>0</v>
      </c>
      <c r="AI36" s="209">
        <v>0</v>
      </c>
      <c r="AJ36" s="209">
        <v>0</v>
      </c>
      <c r="AK36" s="209">
        <v>0</v>
      </c>
      <c r="AL36" s="209">
        <v>0</v>
      </c>
      <c r="AM36" s="207" t="s">
        <v>237</v>
      </c>
    </row>
    <row r="37" spans="1:39" ht="12.75">
      <c r="A37" s="204"/>
      <c r="B37" s="208">
        <v>37043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7" t="s">
        <v>238</v>
      </c>
    </row>
    <row r="38" spans="1:39" ht="12.75">
      <c r="A38" s="204"/>
      <c r="B38" s="208">
        <v>37073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09">
        <v>0</v>
      </c>
      <c r="AF38" s="209">
        <v>0</v>
      </c>
      <c r="AG38" s="209">
        <v>0</v>
      </c>
      <c r="AH38" s="209">
        <v>0</v>
      </c>
      <c r="AI38" s="209">
        <v>0</v>
      </c>
      <c r="AJ38" s="209">
        <v>0</v>
      </c>
      <c r="AK38" s="209">
        <v>0</v>
      </c>
      <c r="AL38" s="209">
        <v>0</v>
      </c>
      <c r="AM38" s="207" t="s">
        <v>237</v>
      </c>
    </row>
    <row r="39" spans="2:38" ht="11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AM39"/>
  <sheetViews>
    <sheetView zoomScale="80" zoomScaleNormal="80" workbookViewId="0" topLeftCell="A1">
      <selection activeCell="B6" sqref="B6"/>
    </sheetView>
  </sheetViews>
  <sheetFormatPr defaultColWidth="9.140625" defaultRowHeight="12.75"/>
  <cols>
    <col min="1" max="1" width="2.7109375" style="49" customWidth="1"/>
    <col min="2" max="2" width="15.140625" style="49" bestFit="1" customWidth="1"/>
    <col min="3" max="16384" width="9.140625" style="49" customWidth="1"/>
  </cols>
  <sheetData>
    <row r="2" spans="1:39" s="54" customFormat="1" ht="11.25">
      <c r="A2" s="203"/>
      <c r="B2" s="56" t="s">
        <v>229</v>
      </c>
      <c r="C2" s="55" t="s">
        <v>92</v>
      </c>
      <c r="D2" s="55" t="s">
        <v>93</v>
      </c>
      <c r="E2" s="55" t="s">
        <v>94</v>
      </c>
      <c r="F2" s="55" t="s">
        <v>95</v>
      </c>
      <c r="G2" s="55" t="s">
        <v>96</v>
      </c>
      <c r="H2" s="55" t="s">
        <v>97</v>
      </c>
      <c r="I2" s="55" t="s">
        <v>98</v>
      </c>
      <c r="J2" s="55" t="s">
        <v>99</v>
      </c>
      <c r="K2" s="55" t="s">
        <v>100</v>
      </c>
      <c r="L2" s="55" t="s">
        <v>101</v>
      </c>
      <c r="M2" s="55" t="s">
        <v>102</v>
      </c>
      <c r="N2" s="55" t="s">
        <v>103</v>
      </c>
      <c r="O2" s="55" t="s">
        <v>104</v>
      </c>
      <c r="P2" s="55" t="s">
        <v>105</v>
      </c>
      <c r="Q2" s="55" t="s">
        <v>106</v>
      </c>
      <c r="R2" s="55" t="s">
        <v>107</v>
      </c>
      <c r="S2" s="55" t="s">
        <v>108</v>
      </c>
      <c r="T2" s="55" t="s">
        <v>109</v>
      </c>
      <c r="U2" s="55" t="s">
        <v>110</v>
      </c>
      <c r="V2" s="55" t="s">
        <v>111</v>
      </c>
      <c r="W2" s="55" t="s">
        <v>112</v>
      </c>
      <c r="X2" s="55" t="s">
        <v>113</v>
      </c>
      <c r="Y2" s="55" t="s">
        <v>114</v>
      </c>
      <c r="Z2" s="55" t="s">
        <v>115</v>
      </c>
      <c r="AA2" s="55" t="s">
        <v>116</v>
      </c>
      <c r="AB2" s="55" t="s">
        <v>117</v>
      </c>
      <c r="AC2" s="55" t="s">
        <v>118</v>
      </c>
      <c r="AD2" s="55" t="s">
        <v>119</v>
      </c>
      <c r="AE2" s="55" t="s">
        <v>120</v>
      </c>
      <c r="AF2" s="55" t="s">
        <v>121</v>
      </c>
      <c r="AG2" s="55" t="s">
        <v>122</v>
      </c>
      <c r="AH2" s="55" t="s">
        <v>123</v>
      </c>
      <c r="AI2" s="55" t="s">
        <v>124</v>
      </c>
      <c r="AJ2" s="55" t="s">
        <v>125</v>
      </c>
      <c r="AK2" s="55" t="s">
        <v>126</v>
      </c>
      <c r="AL2" s="55" t="s">
        <v>127</v>
      </c>
      <c r="AM2" s="206"/>
    </row>
    <row r="3" spans="1:39" ht="12.75">
      <c r="A3" s="204"/>
      <c r="B3" s="208">
        <f>'general dump'!B3</f>
        <v>36008</v>
      </c>
      <c r="C3" s="209">
        <f>IF(LOWER(Basis)="ibnp",'paid claim lag dump'!C3,'reported claim lag dump'!C3)</f>
        <v>25147</v>
      </c>
      <c r="D3" s="209">
        <f>IF(LOWER(Basis)="ibnp",'paid claim lag dump'!D3,'reported claim lag dump'!D3)</f>
        <v>74072</v>
      </c>
      <c r="E3" s="209">
        <f>IF(LOWER(Basis)="ibnp",'paid claim lag dump'!E3,'reported claim lag dump'!E3)</f>
        <v>0</v>
      </c>
      <c r="F3" s="209">
        <f>IF(LOWER(Basis)="ibnp",'paid claim lag dump'!F3,'reported claim lag dump'!F3)</f>
        <v>0</v>
      </c>
      <c r="G3" s="209">
        <f>IF(LOWER(Basis)="ibnp",'paid claim lag dump'!G3,'reported claim lag dump'!G3)</f>
        <v>0</v>
      </c>
      <c r="H3" s="209">
        <f>IF(LOWER(Basis)="ibnp",'paid claim lag dump'!H3,'reported claim lag dump'!H3)</f>
        <v>0</v>
      </c>
      <c r="I3" s="209">
        <f>IF(LOWER(Basis)="ibnp",'paid claim lag dump'!I3,'reported claim lag dump'!I3)</f>
        <v>0</v>
      </c>
      <c r="J3" s="209">
        <f>IF(LOWER(Basis)="ibnp",'paid claim lag dump'!J3,'reported claim lag dump'!J3)</f>
        <v>0</v>
      </c>
      <c r="K3" s="209">
        <f>IF(LOWER(Basis)="ibnp",'paid claim lag dump'!K3,'reported claim lag dump'!K3)</f>
        <v>0</v>
      </c>
      <c r="L3" s="209">
        <f>IF(LOWER(Basis)="ibnp",'paid claim lag dump'!L3,'reported claim lag dump'!L3)</f>
        <v>0</v>
      </c>
      <c r="M3" s="209">
        <f>IF(LOWER(Basis)="ibnp",'paid claim lag dump'!M3,'reported claim lag dump'!M3)</f>
        <v>0</v>
      </c>
      <c r="N3" s="209">
        <f>IF(LOWER(Basis)="ibnp",'paid claim lag dump'!N3,'reported claim lag dump'!N3)</f>
        <v>0</v>
      </c>
      <c r="O3" s="209">
        <f>IF(LOWER(Basis)="ibnp",'paid claim lag dump'!O3,'reported claim lag dump'!O3)</f>
        <v>0</v>
      </c>
      <c r="P3" s="209">
        <f>IF(LOWER(Basis)="ibnp",'paid claim lag dump'!P3,'reported claim lag dump'!P3)</f>
        <v>0</v>
      </c>
      <c r="Q3" s="209">
        <f>IF(LOWER(Basis)="ibnp",'paid claim lag dump'!Q3,'reported claim lag dump'!Q3)</f>
        <v>0</v>
      </c>
      <c r="R3" s="209">
        <f>IF(LOWER(Basis)="ibnp",'paid claim lag dump'!R3,'reported claim lag dump'!R3)</f>
        <v>0</v>
      </c>
      <c r="S3" s="209">
        <f>IF(LOWER(Basis)="ibnp",'paid claim lag dump'!S3,'reported claim lag dump'!S3)</f>
        <v>0</v>
      </c>
      <c r="T3" s="209">
        <f>IF(LOWER(Basis)="ibnp",'paid claim lag dump'!T3,'reported claim lag dump'!T3)</f>
        <v>0</v>
      </c>
      <c r="U3" s="209">
        <f>IF(LOWER(Basis)="ibnp",'paid claim lag dump'!U3,'reported claim lag dump'!U3)</f>
        <v>0</v>
      </c>
      <c r="V3" s="209">
        <f>IF(LOWER(Basis)="ibnp",'paid claim lag dump'!V3,'reported claim lag dump'!V3)</f>
        <v>0</v>
      </c>
      <c r="W3" s="209">
        <f>IF(LOWER(Basis)="ibnp",'paid claim lag dump'!W3,'reported claim lag dump'!W3)</f>
        <v>0</v>
      </c>
      <c r="X3" s="209">
        <f>IF(LOWER(Basis)="ibnp",'paid claim lag dump'!X3,'reported claim lag dump'!X3)</f>
        <v>0</v>
      </c>
      <c r="Y3" s="209">
        <f>IF(LOWER(Basis)="ibnp",'paid claim lag dump'!Y3,'reported claim lag dump'!Y3)</f>
        <v>0</v>
      </c>
      <c r="Z3" s="209">
        <f>IF(LOWER(Basis)="ibnp",'paid claim lag dump'!Z3,'reported claim lag dump'!Z3)</f>
        <v>0</v>
      </c>
      <c r="AA3" s="209">
        <f>IF(LOWER(Basis)="ibnp",'paid claim lag dump'!AA3,'reported claim lag dump'!AA3)</f>
        <v>0</v>
      </c>
      <c r="AB3" s="209">
        <f>IF(LOWER(Basis)="ibnp",'paid claim lag dump'!AB3,'reported claim lag dump'!AB3)</f>
        <v>0</v>
      </c>
      <c r="AC3" s="209">
        <f>IF(LOWER(Basis)="ibnp",'paid claim lag dump'!AC3,'reported claim lag dump'!AC3)</f>
        <v>0</v>
      </c>
      <c r="AD3" s="209">
        <f>IF(LOWER(Basis)="ibnp",'paid claim lag dump'!AD3,'reported claim lag dump'!AD3)</f>
        <v>0</v>
      </c>
      <c r="AE3" s="209">
        <f>IF(LOWER(Basis)="ibnp",'paid claim lag dump'!AE3,'reported claim lag dump'!AE3)</f>
        <v>0</v>
      </c>
      <c r="AF3" s="209">
        <f>IF(LOWER(Basis)="ibnp",'paid claim lag dump'!AF3,'reported claim lag dump'!AF3)</f>
        <v>0</v>
      </c>
      <c r="AG3" s="209">
        <f>IF(LOWER(Basis)="ibnp",'paid claim lag dump'!AG3,'reported claim lag dump'!AG3)</f>
        <v>0</v>
      </c>
      <c r="AH3" s="209">
        <f>IF(LOWER(Basis)="ibnp",'paid claim lag dump'!AH3,'reported claim lag dump'!AH3)</f>
        <v>0</v>
      </c>
      <c r="AI3" s="209">
        <f>IF(LOWER(Basis)="ibnp",'paid claim lag dump'!AI3,'reported claim lag dump'!AI3)</f>
        <v>0</v>
      </c>
      <c r="AJ3" s="209">
        <f>IF(LOWER(Basis)="ibnp",'paid claim lag dump'!AJ3,'reported claim lag dump'!AJ3)</f>
        <v>0</v>
      </c>
      <c r="AK3" s="209">
        <f>IF(LOWER(Basis)="ibnp",'paid claim lag dump'!AK3,'reported claim lag dump'!AK3)</f>
        <v>0</v>
      </c>
      <c r="AL3" s="209">
        <f>IF(LOWER(Basis)="ibnp",'paid claim lag dump'!AL3,'reported claim lag dump'!AL3)</f>
        <v>0</v>
      </c>
      <c r="AM3" s="207"/>
    </row>
    <row r="4" spans="1:39" ht="12.75">
      <c r="A4" s="204"/>
      <c r="B4" s="208">
        <f>'general dump'!B4</f>
        <v>36039</v>
      </c>
      <c r="C4" s="209">
        <f>IF(LOWER(Basis)="ibnp",'paid claim lag dump'!C4,'reported claim lag dump'!C4)</f>
        <v>31253</v>
      </c>
      <c r="D4" s="209">
        <f>IF(LOWER(Basis)="ibnp",'paid claim lag dump'!D4,'reported claim lag dump'!D4)</f>
        <v>67966</v>
      </c>
      <c r="E4" s="209">
        <f>IF(LOWER(Basis)="ibnp",'paid claim lag dump'!E4,'reported claim lag dump'!E4)</f>
        <v>0</v>
      </c>
      <c r="F4" s="209">
        <f>IF(LOWER(Basis)="ibnp",'paid claim lag dump'!F4,'reported claim lag dump'!F4)</f>
        <v>0</v>
      </c>
      <c r="G4" s="209">
        <f>IF(LOWER(Basis)="ibnp",'paid claim lag dump'!G4,'reported claim lag dump'!G4)</f>
        <v>0</v>
      </c>
      <c r="H4" s="209">
        <f>IF(LOWER(Basis)="ibnp",'paid claim lag dump'!H4,'reported claim lag dump'!H4)</f>
        <v>0</v>
      </c>
      <c r="I4" s="209">
        <f>IF(LOWER(Basis)="ibnp",'paid claim lag dump'!I4,'reported claim lag dump'!I4)</f>
        <v>0</v>
      </c>
      <c r="J4" s="209">
        <f>IF(LOWER(Basis)="ibnp",'paid claim lag dump'!J4,'reported claim lag dump'!J4)</f>
        <v>0</v>
      </c>
      <c r="K4" s="209">
        <f>IF(LOWER(Basis)="ibnp",'paid claim lag dump'!K4,'reported claim lag dump'!K4)</f>
        <v>0</v>
      </c>
      <c r="L4" s="209">
        <f>IF(LOWER(Basis)="ibnp",'paid claim lag dump'!L4,'reported claim lag dump'!L4)</f>
        <v>0</v>
      </c>
      <c r="M4" s="209">
        <f>IF(LOWER(Basis)="ibnp",'paid claim lag dump'!M4,'reported claim lag dump'!M4)</f>
        <v>0</v>
      </c>
      <c r="N4" s="209">
        <f>IF(LOWER(Basis)="ibnp",'paid claim lag dump'!N4,'reported claim lag dump'!N4)</f>
        <v>0</v>
      </c>
      <c r="O4" s="209">
        <f>IF(LOWER(Basis)="ibnp",'paid claim lag dump'!O4,'reported claim lag dump'!O4)</f>
        <v>0</v>
      </c>
      <c r="P4" s="209">
        <f>IF(LOWER(Basis)="ibnp",'paid claim lag dump'!P4,'reported claim lag dump'!P4)</f>
        <v>0</v>
      </c>
      <c r="Q4" s="209">
        <f>IF(LOWER(Basis)="ibnp",'paid claim lag dump'!Q4,'reported claim lag dump'!Q4)</f>
        <v>0</v>
      </c>
      <c r="R4" s="209">
        <f>IF(LOWER(Basis)="ibnp",'paid claim lag dump'!R4,'reported claim lag dump'!R4)</f>
        <v>0</v>
      </c>
      <c r="S4" s="209">
        <f>IF(LOWER(Basis)="ibnp",'paid claim lag dump'!S4,'reported claim lag dump'!S4)</f>
        <v>0</v>
      </c>
      <c r="T4" s="209">
        <f>IF(LOWER(Basis)="ibnp",'paid claim lag dump'!T4,'reported claim lag dump'!T4)</f>
        <v>0</v>
      </c>
      <c r="U4" s="209">
        <f>IF(LOWER(Basis)="ibnp",'paid claim lag dump'!U4,'reported claim lag dump'!U4)</f>
        <v>0</v>
      </c>
      <c r="V4" s="209">
        <f>IF(LOWER(Basis)="ibnp",'paid claim lag dump'!V4,'reported claim lag dump'!V4)</f>
        <v>0</v>
      </c>
      <c r="W4" s="209">
        <f>IF(LOWER(Basis)="ibnp",'paid claim lag dump'!W4,'reported claim lag dump'!W4)</f>
        <v>0</v>
      </c>
      <c r="X4" s="209">
        <f>IF(LOWER(Basis)="ibnp",'paid claim lag dump'!X4,'reported claim lag dump'!X4)</f>
        <v>0</v>
      </c>
      <c r="Y4" s="209">
        <f>IF(LOWER(Basis)="ibnp",'paid claim lag dump'!Y4,'reported claim lag dump'!Y4)</f>
        <v>0</v>
      </c>
      <c r="Z4" s="209">
        <f>IF(LOWER(Basis)="ibnp",'paid claim lag dump'!Z4,'reported claim lag dump'!Z4)</f>
        <v>0</v>
      </c>
      <c r="AA4" s="209">
        <f>IF(LOWER(Basis)="ibnp",'paid claim lag dump'!AA4,'reported claim lag dump'!AA4)</f>
        <v>0</v>
      </c>
      <c r="AB4" s="209">
        <f>IF(LOWER(Basis)="ibnp",'paid claim lag dump'!AB4,'reported claim lag dump'!AB4)</f>
        <v>0</v>
      </c>
      <c r="AC4" s="209">
        <f>IF(LOWER(Basis)="ibnp",'paid claim lag dump'!AC4,'reported claim lag dump'!AC4)</f>
        <v>0</v>
      </c>
      <c r="AD4" s="209">
        <f>IF(LOWER(Basis)="ibnp",'paid claim lag dump'!AD4,'reported claim lag dump'!AD4)</f>
        <v>0</v>
      </c>
      <c r="AE4" s="209">
        <f>IF(LOWER(Basis)="ibnp",'paid claim lag dump'!AE4,'reported claim lag dump'!AE4)</f>
        <v>0</v>
      </c>
      <c r="AF4" s="209">
        <f>IF(LOWER(Basis)="ibnp",'paid claim lag dump'!AF4,'reported claim lag dump'!AF4)</f>
        <v>0</v>
      </c>
      <c r="AG4" s="209">
        <f>IF(LOWER(Basis)="ibnp",'paid claim lag dump'!AG4,'reported claim lag dump'!AG4)</f>
        <v>0</v>
      </c>
      <c r="AH4" s="209">
        <f>IF(LOWER(Basis)="ibnp",'paid claim lag dump'!AH4,'reported claim lag dump'!AH4)</f>
        <v>0</v>
      </c>
      <c r="AI4" s="209">
        <f>IF(LOWER(Basis)="ibnp",'paid claim lag dump'!AI4,'reported claim lag dump'!AI4)</f>
        <v>0</v>
      </c>
      <c r="AJ4" s="209">
        <f>IF(LOWER(Basis)="ibnp",'paid claim lag dump'!AJ4,'reported claim lag dump'!AJ4)</f>
        <v>0</v>
      </c>
      <c r="AK4" s="209">
        <f>IF(LOWER(Basis)="ibnp",'paid claim lag dump'!AK4,'reported claim lag dump'!AK4)</f>
        <v>0</v>
      </c>
      <c r="AL4" s="209">
        <f>IF(LOWER(Basis)="ibnp",'paid claim lag dump'!AL4,'reported claim lag dump'!AL4)</f>
        <v>0</v>
      </c>
      <c r="AM4" s="207"/>
    </row>
    <row r="5" spans="1:39" ht="12.75">
      <c r="A5" s="204"/>
      <c r="B5" s="208">
        <f>'general dump'!B5</f>
        <v>36069</v>
      </c>
      <c r="C5" s="209">
        <f>IF(LOWER(Basis)="ibnp",'paid claim lag dump'!C5,'reported claim lag dump'!C5)</f>
        <v>30186</v>
      </c>
      <c r="D5" s="209">
        <f>IF(LOWER(Basis)="ibnp",'paid claim lag dump'!D5,'reported claim lag dump'!D5)</f>
        <v>157846</v>
      </c>
      <c r="E5" s="209">
        <f>IF(LOWER(Basis)="ibnp",'paid claim lag dump'!E5,'reported claim lag dump'!E5)</f>
        <v>54319</v>
      </c>
      <c r="F5" s="209">
        <f>IF(LOWER(Basis)="ibnp",'paid claim lag dump'!F5,'reported claim lag dump'!F5)</f>
        <v>49663</v>
      </c>
      <c r="G5" s="209">
        <f>IF(LOWER(Basis)="ibnp",'paid claim lag dump'!G5,'reported claim lag dump'!G5)</f>
        <v>0</v>
      </c>
      <c r="H5" s="209">
        <f>IF(LOWER(Basis)="ibnp",'paid claim lag dump'!H5,'reported claim lag dump'!H5)</f>
        <v>0</v>
      </c>
      <c r="I5" s="209">
        <f>IF(LOWER(Basis)="ibnp",'paid claim lag dump'!I5,'reported claim lag dump'!I5)</f>
        <v>0</v>
      </c>
      <c r="J5" s="209">
        <f>IF(LOWER(Basis)="ibnp",'paid claim lag dump'!J5,'reported claim lag dump'!J5)</f>
        <v>0</v>
      </c>
      <c r="K5" s="209">
        <f>IF(LOWER(Basis)="ibnp",'paid claim lag dump'!K5,'reported claim lag dump'!K5)</f>
        <v>0</v>
      </c>
      <c r="L5" s="209">
        <f>IF(LOWER(Basis)="ibnp",'paid claim lag dump'!L5,'reported claim lag dump'!L5)</f>
        <v>0</v>
      </c>
      <c r="M5" s="209">
        <f>IF(LOWER(Basis)="ibnp",'paid claim lag dump'!M5,'reported claim lag dump'!M5)</f>
        <v>0</v>
      </c>
      <c r="N5" s="209">
        <f>IF(LOWER(Basis)="ibnp",'paid claim lag dump'!N5,'reported claim lag dump'!N5)</f>
        <v>0</v>
      </c>
      <c r="O5" s="209">
        <f>IF(LOWER(Basis)="ibnp",'paid claim lag dump'!O5,'reported claim lag dump'!O5)</f>
        <v>0</v>
      </c>
      <c r="P5" s="209">
        <f>IF(LOWER(Basis)="ibnp",'paid claim lag dump'!P5,'reported claim lag dump'!P5)</f>
        <v>0</v>
      </c>
      <c r="Q5" s="209">
        <f>IF(LOWER(Basis)="ibnp",'paid claim lag dump'!Q5,'reported claim lag dump'!Q5)</f>
        <v>0</v>
      </c>
      <c r="R5" s="209">
        <f>IF(LOWER(Basis)="ibnp",'paid claim lag dump'!R5,'reported claim lag dump'!R5)</f>
        <v>0</v>
      </c>
      <c r="S5" s="209">
        <f>IF(LOWER(Basis)="ibnp",'paid claim lag dump'!S5,'reported claim lag dump'!S5)</f>
        <v>0</v>
      </c>
      <c r="T5" s="209">
        <f>IF(LOWER(Basis)="ibnp",'paid claim lag dump'!T5,'reported claim lag dump'!T5)</f>
        <v>0</v>
      </c>
      <c r="U5" s="209">
        <f>IF(LOWER(Basis)="ibnp",'paid claim lag dump'!U5,'reported claim lag dump'!U5)</f>
        <v>0</v>
      </c>
      <c r="V5" s="209">
        <f>IF(LOWER(Basis)="ibnp",'paid claim lag dump'!V5,'reported claim lag dump'!V5)</f>
        <v>0</v>
      </c>
      <c r="W5" s="209">
        <f>IF(LOWER(Basis)="ibnp",'paid claim lag dump'!W5,'reported claim lag dump'!W5)</f>
        <v>0</v>
      </c>
      <c r="X5" s="209">
        <f>IF(LOWER(Basis)="ibnp",'paid claim lag dump'!X5,'reported claim lag dump'!X5)</f>
        <v>0</v>
      </c>
      <c r="Y5" s="209">
        <f>IF(LOWER(Basis)="ibnp",'paid claim lag dump'!Y5,'reported claim lag dump'!Y5)</f>
        <v>0</v>
      </c>
      <c r="Z5" s="209">
        <f>IF(LOWER(Basis)="ibnp",'paid claim lag dump'!Z5,'reported claim lag dump'!Z5)</f>
        <v>0</v>
      </c>
      <c r="AA5" s="209">
        <f>IF(LOWER(Basis)="ibnp",'paid claim lag dump'!AA5,'reported claim lag dump'!AA5)</f>
        <v>0</v>
      </c>
      <c r="AB5" s="209">
        <f>IF(LOWER(Basis)="ibnp",'paid claim lag dump'!AB5,'reported claim lag dump'!AB5)</f>
        <v>0</v>
      </c>
      <c r="AC5" s="209">
        <f>IF(LOWER(Basis)="ibnp",'paid claim lag dump'!AC5,'reported claim lag dump'!AC5)</f>
        <v>0</v>
      </c>
      <c r="AD5" s="209">
        <f>IF(LOWER(Basis)="ibnp",'paid claim lag dump'!AD5,'reported claim lag dump'!AD5)</f>
        <v>0</v>
      </c>
      <c r="AE5" s="209">
        <f>IF(LOWER(Basis)="ibnp",'paid claim lag dump'!AE5,'reported claim lag dump'!AE5)</f>
        <v>0</v>
      </c>
      <c r="AF5" s="209">
        <f>IF(LOWER(Basis)="ibnp",'paid claim lag dump'!AF5,'reported claim lag dump'!AF5)</f>
        <v>0</v>
      </c>
      <c r="AG5" s="209">
        <f>IF(LOWER(Basis)="ibnp",'paid claim lag dump'!AG5,'reported claim lag dump'!AG5)</f>
        <v>0</v>
      </c>
      <c r="AH5" s="209">
        <f>IF(LOWER(Basis)="ibnp",'paid claim lag dump'!AH5,'reported claim lag dump'!AH5)</f>
        <v>0</v>
      </c>
      <c r="AI5" s="209">
        <f>IF(LOWER(Basis)="ibnp",'paid claim lag dump'!AI5,'reported claim lag dump'!AI5)</f>
        <v>0</v>
      </c>
      <c r="AJ5" s="209">
        <f>IF(LOWER(Basis)="ibnp",'paid claim lag dump'!AJ5,'reported claim lag dump'!AJ5)</f>
        <v>0</v>
      </c>
      <c r="AK5" s="209">
        <f>IF(LOWER(Basis)="ibnp",'paid claim lag dump'!AK5,'reported claim lag dump'!AK5)</f>
        <v>0</v>
      </c>
      <c r="AL5" s="209">
        <f>IF(LOWER(Basis)="ibnp",'paid claim lag dump'!AL5,'reported claim lag dump'!AL5)</f>
        <v>0</v>
      </c>
      <c r="AM5" s="207"/>
    </row>
    <row r="6" spans="1:39" ht="12.75">
      <c r="A6" s="204"/>
      <c r="B6" s="208">
        <f>'general dump'!B6</f>
        <v>36100</v>
      </c>
      <c r="C6" s="209">
        <f>IF(LOWER(Basis)="ibnp",'paid claim lag dump'!C6,'reported claim lag dump'!C6)</f>
        <v>49927</v>
      </c>
      <c r="D6" s="209">
        <f>IF(LOWER(Basis)="ibnp",'paid claim lag dump'!D6,'reported claim lag dump'!D6)</f>
        <v>140535</v>
      </c>
      <c r="E6" s="209">
        <f>IF(LOWER(Basis)="ibnp",'paid claim lag dump'!E6,'reported claim lag dump'!E6)</f>
        <v>51889</v>
      </c>
      <c r="F6" s="209">
        <f>IF(LOWER(Basis)="ibnp",'paid claim lag dump'!F6,'reported claim lag dump'!F6)</f>
        <v>49663</v>
      </c>
      <c r="G6" s="209">
        <f>IF(LOWER(Basis)="ibnp",'paid claim lag dump'!G6,'reported claim lag dump'!G6)</f>
        <v>0</v>
      </c>
      <c r="H6" s="209">
        <f>IF(LOWER(Basis)="ibnp",'paid claim lag dump'!H6,'reported claim lag dump'!H6)</f>
        <v>0</v>
      </c>
      <c r="I6" s="209">
        <f>IF(LOWER(Basis)="ibnp",'paid claim lag dump'!I6,'reported claim lag dump'!I6)</f>
        <v>0</v>
      </c>
      <c r="J6" s="209">
        <f>IF(LOWER(Basis)="ibnp",'paid claim lag dump'!J6,'reported claim lag dump'!J6)</f>
        <v>0</v>
      </c>
      <c r="K6" s="209">
        <f>IF(LOWER(Basis)="ibnp",'paid claim lag dump'!K6,'reported claim lag dump'!K6)</f>
        <v>0</v>
      </c>
      <c r="L6" s="209">
        <f>IF(LOWER(Basis)="ibnp",'paid claim lag dump'!L6,'reported claim lag dump'!L6)</f>
        <v>0</v>
      </c>
      <c r="M6" s="209">
        <f>IF(LOWER(Basis)="ibnp",'paid claim lag dump'!M6,'reported claim lag dump'!M6)</f>
        <v>0</v>
      </c>
      <c r="N6" s="209">
        <f>IF(LOWER(Basis)="ibnp",'paid claim lag dump'!N6,'reported claim lag dump'!N6)</f>
        <v>0</v>
      </c>
      <c r="O6" s="209">
        <f>IF(LOWER(Basis)="ibnp",'paid claim lag dump'!O6,'reported claim lag dump'!O6)</f>
        <v>0</v>
      </c>
      <c r="P6" s="209">
        <f>IF(LOWER(Basis)="ibnp",'paid claim lag dump'!P6,'reported claim lag dump'!P6)</f>
        <v>0</v>
      </c>
      <c r="Q6" s="209">
        <f>IF(LOWER(Basis)="ibnp",'paid claim lag dump'!Q6,'reported claim lag dump'!Q6)</f>
        <v>0</v>
      </c>
      <c r="R6" s="209">
        <f>IF(LOWER(Basis)="ibnp",'paid claim lag dump'!R6,'reported claim lag dump'!R6)</f>
        <v>0</v>
      </c>
      <c r="S6" s="209">
        <f>IF(LOWER(Basis)="ibnp",'paid claim lag dump'!S6,'reported claim lag dump'!S6)</f>
        <v>0</v>
      </c>
      <c r="T6" s="209">
        <f>IF(LOWER(Basis)="ibnp",'paid claim lag dump'!T6,'reported claim lag dump'!T6)</f>
        <v>0</v>
      </c>
      <c r="U6" s="209">
        <f>IF(LOWER(Basis)="ibnp",'paid claim lag dump'!U6,'reported claim lag dump'!U6)</f>
        <v>0</v>
      </c>
      <c r="V6" s="209">
        <f>IF(LOWER(Basis)="ibnp",'paid claim lag dump'!V6,'reported claim lag dump'!V6)</f>
        <v>0</v>
      </c>
      <c r="W6" s="209">
        <f>IF(LOWER(Basis)="ibnp",'paid claim lag dump'!W6,'reported claim lag dump'!W6)</f>
        <v>0</v>
      </c>
      <c r="X6" s="209">
        <f>IF(LOWER(Basis)="ibnp",'paid claim lag dump'!X6,'reported claim lag dump'!X6)</f>
        <v>0</v>
      </c>
      <c r="Y6" s="209">
        <f>IF(LOWER(Basis)="ibnp",'paid claim lag dump'!Y6,'reported claim lag dump'!Y6)</f>
        <v>0</v>
      </c>
      <c r="Z6" s="209">
        <f>IF(LOWER(Basis)="ibnp",'paid claim lag dump'!Z6,'reported claim lag dump'!Z6)</f>
        <v>0</v>
      </c>
      <c r="AA6" s="209">
        <f>IF(LOWER(Basis)="ibnp",'paid claim lag dump'!AA6,'reported claim lag dump'!AA6)</f>
        <v>0</v>
      </c>
      <c r="AB6" s="209">
        <f>IF(LOWER(Basis)="ibnp",'paid claim lag dump'!AB6,'reported claim lag dump'!AB6)</f>
        <v>0</v>
      </c>
      <c r="AC6" s="209">
        <f>IF(LOWER(Basis)="ibnp",'paid claim lag dump'!AC6,'reported claim lag dump'!AC6)</f>
        <v>0</v>
      </c>
      <c r="AD6" s="209">
        <f>IF(LOWER(Basis)="ibnp",'paid claim lag dump'!AD6,'reported claim lag dump'!AD6)</f>
        <v>0</v>
      </c>
      <c r="AE6" s="209">
        <f>IF(LOWER(Basis)="ibnp",'paid claim lag dump'!AE6,'reported claim lag dump'!AE6)</f>
        <v>0</v>
      </c>
      <c r="AF6" s="209">
        <f>IF(LOWER(Basis)="ibnp",'paid claim lag dump'!AF6,'reported claim lag dump'!AF6)</f>
        <v>0</v>
      </c>
      <c r="AG6" s="209">
        <f>IF(LOWER(Basis)="ibnp",'paid claim lag dump'!AG6,'reported claim lag dump'!AG6)</f>
        <v>0</v>
      </c>
      <c r="AH6" s="209">
        <f>IF(LOWER(Basis)="ibnp",'paid claim lag dump'!AH6,'reported claim lag dump'!AH6)</f>
        <v>0</v>
      </c>
      <c r="AI6" s="209">
        <f>IF(LOWER(Basis)="ibnp",'paid claim lag dump'!AI6,'reported claim lag dump'!AI6)</f>
        <v>0</v>
      </c>
      <c r="AJ6" s="209">
        <f>IF(LOWER(Basis)="ibnp",'paid claim lag dump'!AJ6,'reported claim lag dump'!AJ6)</f>
        <v>0</v>
      </c>
      <c r="AK6" s="209">
        <f>IF(LOWER(Basis)="ibnp",'paid claim lag dump'!AK6,'reported claim lag dump'!AK6)</f>
        <v>0</v>
      </c>
      <c r="AL6" s="209">
        <f>IF(LOWER(Basis)="ibnp",'paid claim lag dump'!AL6,'reported claim lag dump'!AL6)</f>
        <v>0</v>
      </c>
      <c r="AM6" s="207"/>
    </row>
    <row r="7" spans="1:39" ht="12.75">
      <c r="A7" s="204"/>
      <c r="B7" s="208">
        <f>'general dump'!B7</f>
        <v>36130</v>
      </c>
      <c r="C7" s="209">
        <f>IF(LOWER(Basis)="ibnp",'paid claim lag dump'!C7,'reported claim lag dump'!C7)</f>
        <v>6022</v>
      </c>
      <c r="D7" s="209">
        <f>IF(LOWER(Basis)="ibnp",'paid claim lag dump'!D7,'reported claim lag dump'!D7)</f>
        <v>55145</v>
      </c>
      <c r="E7" s="209">
        <f>IF(LOWER(Basis)="ibnp",'paid claim lag dump'!E7,'reported claim lag dump'!E7)</f>
        <v>17920</v>
      </c>
      <c r="F7" s="209">
        <f>IF(LOWER(Basis)="ibnp",'paid claim lag dump'!F7,'reported claim lag dump'!F7)</f>
        <v>25255</v>
      </c>
      <c r="G7" s="209">
        <f>IF(LOWER(Basis)="ibnp",'paid claim lag dump'!G7,'reported claim lag dump'!G7)</f>
        <v>5019</v>
      </c>
      <c r="H7" s="209">
        <f>IF(LOWER(Basis)="ibnp",'paid claim lag dump'!H7,'reported claim lag dump'!H7)</f>
        <v>402</v>
      </c>
      <c r="I7" s="209">
        <f>IF(LOWER(Basis)="ibnp",'paid claim lag dump'!I7,'reported claim lag dump'!I7)</f>
        <v>0</v>
      </c>
      <c r="J7" s="209">
        <f>IF(LOWER(Basis)="ibnp",'paid claim lag dump'!J7,'reported claim lag dump'!J7)</f>
        <v>0</v>
      </c>
      <c r="K7" s="209">
        <f>IF(LOWER(Basis)="ibnp",'paid claim lag dump'!K7,'reported claim lag dump'!K7)</f>
        <v>0</v>
      </c>
      <c r="L7" s="209">
        <f>IF(LOWER(Basis)="ibnp",'paid claim lag dump'!L7,'reported claim lag dump'!L7)</f>
        <v>0</v>
      </c>
      <c r="M7" s="209">
        <f>IF(LOWER(Basis)="ibnp",'paid claim lag dump'!M7,'reported claim lag dump'!M7)</f>
        <v>0</v>
      </c>
      <c r="N7" s="209">
        <f>IF(LOWER(Basis)="ibnp",'paid claim lag dump'!N7,'reported claim lag dump'!N7)</f>
        <v>0</v>
      </c>
      <c r="O7" s="209">
        <f>IF(LOWER(Basis)="ibnp",'paid claim lag dump'!O7,'reported claim lag dump'!O7)</f>
        <v>0</v>
      </c>
      <c r="P7" s="209">
        <f>IF(LOWER(Basis)="ibnp",'paid claim lag dump'!P7,'reported claim lag dump'!P7)</f>
        <v>0</v>
      </c>
      <c r="Q7" s="209">
        <f>IF(LOWER(Basis)="ibnp",'paid claim lag dump'!Q7,'reported claim lag dump'!Q7)</f>
        <v>0</v>
      </c>
      <c r="R7" s="209">
        <f>IF(LOWER(Basis)="ibnp",'paid claim lag dump'!R7,'reported claim lag dump'!R7)</f>
        <v>0</v>
      </c>
      <c r="S7" s="209">
        <f>IF(LOWER(Basis)="ibnp",'paid claim lag dump'!S7,'reported claim lag dump'!S7)</f>
        <v>0</v>
      </c>
      <c r="T7" s="209">
        <f>IF(LOWER(Basis)="ibnp",'paid claim lag dump'!T7,'reported claim lag dump'!T7)</f>
        <v>0</v>
      </c>
      <c r="U7" s="209">
        <f>IF(LOWER(Basis)="ibnp",'paid claim lag dump'!U7,'reported claim lag dump'!U7)</f>
        <v>0</v>
      </c>
      <c r="V7" s="209">
        <f>IF(LOWER(Basis)="ibnp",'paid claim lag dump'!V7,'reported claim lag dump'!V7)</f>
        <v>0</v>
      </c>
      <c r="W7" s="209">
        <f>IF(LOWER(Basis)="ibnp",'paid claim lag dump'!W7,'reported claim lag dump'!W7)</f>
        <v>0</v>
      </c>
      <c r="X7" s="209">
        <f>IF(LOWER(Basis)="ibnp",'paid claim lag dump'!X7,'reported claim lag dump'!X7)</f>
        <v>0</v>
      </c>
      <c r="Y7" s="209">
        <f>IF(LOWER(Basis)="ibnp",'paid claim lag dump'!Y7,'reported claim lag dump'!Y7)</f>
        <v>0</v>
      </c>
      <c r="Z7" s="209">
        <f>IF(LOWER(Basis)="ibnp",'paid claim lag dump'!Z7,'reported claim lag dump'!Z7)</f>
        <v>0</v>
      </c>
      <c r="AA7" s="209">
        <f>IF(LOWER(Basis)="ibnp",'paid claim lag dump'!AA7,'reported claim lag dump'!AA7)</f>
        <v>0</v>
      </c>
      <c r="AB7" s="209">
        <f>IF(LOWER(Basis)="ibnp",'paid claim lag dump'!AB7,'reported claim lag dump'!AB7)</f>
        <v>0</v>
      </c>
      <c r="AC7" s="209">
        <f>IF(LOWER(Basis)="ibnp",'paid claim lag dump'!AC7,'reported claim lag dump'!AC7)</f>
        <v>0</v>
      </c>
      <c r="AD7" s="209">
        <f>IF(LOWER(Basis)="ibnp",'paid claim lag dump'!AD7,'reported claim lag dump'!AD7)</f>
        <v>0</v>
      </c>
      <c r="AE7" s="209">
        <f>IF(LOWER(Basis)="ibnp",'paid claim lag dump'!AE7,'reported claim lag dump'!AE7)</f>
        <v>0</v>
      </c>
      <c r="AF7" s="209">
        <f>IF(LOWER(Basis)="ibnp",'paid claim lag dump'!AF7,'reported claim lag dump'!AF7)</f>
        <v>0</v>
      </c>
      <c r="AG7" s="209">
        <f>IF(LOWER(Basis)="ibnp",'paid claim lag dump'!AG7,'reported claim lag dump'!AG7)</f>
        <v>0</v>
      </c>
      <c r="AH7" s="209">
        <f>IF(LOWER(Basis)="ibnp",'paid claim lag dump'!AH7,'reported claim lag dump'!AH7)</f>
        <v>0</v>
      </c>
      <c r="AI7" s="209">
        <f>IF(LOWER(Basis)="ibnp",'paid claim lag dump'!AI7,'reported claim lag dump'!AI7)</f>
        <v>0</v>
      </c>
      <c r="AJ7" s="209">
        <f>IF(LOWER(Basis)="ibnp",'paid claim lag dump'!AJ7,'reported claim lag dump'!AJ7)</f>
        <v>0</v>
      </c>
      <c r="AK7" s="209">
        <f>IF(LOWER(Basis)="ibnp",'paid claim lag dump'!AK7,'reported claim lag dump'!AK7)</f>
        <v>0</v>
      </c>
      <c r="AL7" s="209">
        <f>IF(LOWER(Basis)="ibnp",'paid claim lag dump'!AL7,'reported claim lag dump'!AL7)</f>
        <v>0</v>
      </c>
      <c r="AM7" s="207"/>
    </row>
    <row r="8" spans="1:39" ht="12.75">
      <c r="A8" s="204"/>
      <c r="B8" s="208">
        <f>'general dump'!B8</f>
        <v>36161</v>
      </c>
      <c r="C8" s="209">
        <f>IF(LOWER(Basis)="ibnp",'paid claim lag dump'!C8,'reported claim lag dump'!C8)</f>
        <v>31494</v>
      </c>
      <c r="D8" s="209">
        <f>IF(LOWER(Basis)="ibnp",'paid claim lag dump'!D8,'reported claim lag dump'!D8)</f>
        <v>39304</v>
      </c>
      <c r="E8" s="209">
        <f>IF(LOWER(Basis)="ibnp",'paid claim lag dump'!E8,'reported claim lag dump'!E8)</f>
        <v>24477</v>
      </c>
      <c r="F8" s="209">
        <f>IF(LOWER(Basis)="ibnp",'paid claim lag dump'!F8,'reported claim lag dump'!F8)</f>
        <v>9937</v>
      </c>
      <c r="G8" s="209">
        <f>IF(LOWER(Basis)="ibnp",'paid claim lag dump'!G8,'reported claim lag dump'!G8)</f>
        <v>4149</v>
      </c>
      <c r="H8" s="209">
        <f>IF(LOWER(Basis)="ibnp",'paid claim lag dump'!H8,'reported claim lag dump'!H8)</f>
        <v>402</v>
      </c>
      <c r="I8" s="209">
        <f>IF(LOWER(Basis)="ibnp",'paid claim lag dump'!I8,'reported claim lag dump'!I8)</f>
        <v>0</v>
      </c>
      <c r="J8" s="209">
        <f>IF(LOWER(Basis)="ibnp",'paid claim lag dump'!J8,'reported claim lag dump'!J8)</f>
        <v>0</v>
      </c>
      <c r="K8" s="209">
        <f>IF(LOWER(Basis)="ibnp",'paid claim lag dump'!K8,'reported claim lag dump'!K8)</f>
        <v>0</v>
      </c>
      <c r="L8" s="209">
        <f>IF(LOWER(Basis)="ibnp",'paid claim lag dump'!L8,'reported claim lag dump'!L8)</f>
        <v>0</v>
      </c>
      <c r="M8" s="209">
        <f>IF(LOWER(Basis)="ibnp",'paid claim lag dump'!M8,'reported claim lag dump'!M8)</f>
        <v>0</v>
      </c>
      <c r="N8" s="209">
        <f>IF(LOWER(Basis)="ibnp",'paid claim lag dump'!N8,'reported claim lag dump'!N8)</f>
        <v>0</v>
      </c>
      <c r="O8" s="209">
        <f>IF(LOWER(Basis)="ibnp",'paid claim lag dump'!O8,'reported claim lag dump'!O8)</f>
        <v>0</v>
      </c>
      <c r="P8" s="209">
        <f>IF(LOWER(Basis)="ibnp",'paid claim lag dump'!P8,'reported claim lag dump'!P8)</f>
        <v>0</v>
      </c>
      <c r="Q8" s="209">
        <f>IF(LOWER(Basis)="ibnp",'paid claim lag dump'!Q8,'reported claim lag dump'!Q8)</f>
        <v>0</v>
      </c>
      <c r="R8" s="209">
        <f>IF(LOWER(Basis)="ibnp",'paid claim lag dump'!R8,'reported claim lag dump'!R8)</f>
        <v>0</v>
      </c>
      <c r="S8" s="209">
        <f>IF(LOWER(Basis)="ibnp",'paid claim lag dump'!S8,'reported claim lag dump'!S8)</f>
        <v>0</v>
      </c>
      <c r="T8" s="209">
        <f>IF(LOWER(Basis)="ibnp",'paid claim lag dump'!T8,'reported claim lag dump'!T8)</f>
        <v>0</v>
      </c>
      <c r="U8" s="209">
        <f>IF(LOWER(Basis)="ibnp",'paid claim lag dump'!U8,'reported claim lag dump'!U8)</f>
        <v>0</v>
      </c>
      <c r="V8" s="209">
        <f>IF(LOWER(Basis)="ibnp",'paid claim lag dump'!V8,'reported claim lag dump'!V8)</f>
        <v>0</v>
      </c>
      <c r="W8" s="209">
        <f>IF(LOWER(Basis)="ibnp",'paid claim lag dump'!W8,'reported claim lag dump'!W8)</f>
        <v>0</v>
      </c>
      <c r="X8" s="209">
        <f>IF(LOWER(Basis)="ibnp",'paid claim lag dump'!X8,'reported claim lag dump'!X8)</f>
        <v>0</v>
      </c>
      <c r="Y8" s="209">
        <f>IF(LOWER(Basis)="ibnp",'paid claim lag dump'!Y8,'reported claim lag dump'!Y8)</f>
        <v>0</v>
      </c>
      <c r="Z8" s="209">
        <f>IF(LOWER(Basis)="ibnp",'paid claim lag dump'!Z8,'reported claim lag dump'!Z8)</f>
        <v>0</v>
      </c>
      <c r="AA8" s="209">
        <f>IF(LOWER(Basis)="ibnp",'paid claim lag dump'!AA8,'reported claim lag dump'!AA8)</f>
        <v>0</v>
      </c>
      <c r="AB8" s="209">
        <f>IF(LOWER(Basis)="ibnp",'paid claim lag dump'!AB8,'reported claim lag dump'!AB8)</f>
        <v>0</v>
      </c>
      <c r="AC8" s="209">
        <f>IF(LOWER(Basis)="ibnp",'paid claim lag dump'!AC8,'reported claim lag dump'!AC8)</f>
        <v>0</v>
      </c>
      <c r="AD8" s="209">
        <f>IF(LOWER(Basis)="ibnp",'paid claim lag dump'!AD8,'reported claim lag dump'!AD8)</f>
        <v>0</v>
      </c>
      <c r="AE8" s="209">
        <f>IF(LOWER(Basis)="ibnp",'paid claim lag dump'!AE8,'reported claim lag dump'!AE8)</f>
        <v>0</v>
      </c>
      <c r="AF8" s="209">
        <f>IF(LOWER(Basis)="ibnp",'paid claim lag dump'!AF8,'reported claim lag dump'!AF8)</f>
        <v>0</v>
      </c>
      <c r="AG8" s="209">
        <f>IF(LOWER(Basis)="ibnp",'paid claim lag dump'!AG8,'reported claim lag dump'!AG8)</f>
        <v>0</v>
      </c>
      <c r="AH8" s="209">
        <f>IF(LOWER(Basis)="ibnp",'paid claim lag dump'!AH8,'reported claim lag dump'!AH8)</f>
        <v>0</v>
      </c>
      <c r="AI8" s="209">
        <f>IF(LOWER(Basis)="ibnp",'paid claim lag dump'!AI8,'reported claim lag dump'!AI8)</f>
        <v>0</v>
      </c>
      <c r="AJ8" s="209">
        <f>IF(LOWER(Basis)="ibnp",'paid claim lag dump'!AJ8,'reported claim lag dump'!AJ8)</f>
        <v>0</v>
      </c>
      <c r="AK8" s="209">
        <f>IF(LOWER(Basis)="ibnp",'paid claim lag dump'!AK8,'reported claim lag dump'!AK8)</f>
        <v>0</v>
      </c>
      <c r="AL8" s="209">
        <f>IF(LOWER(Basis)="ibnp",'paid claim lag dump'!AL8,'reported claim lag dump'!AL8)</f>
        <v>0</v>
      </c>
      <c r="AM8" s="207"/>
    </row>
    <row r="9" spans="1:39" ht="12.75">
      <c r="A9" s="204"/>
      <c r="B9" s="208">
        <f>'general dump'!B9</f>
        <v>36192</v>
      </c>
      <c r="C9" s="209">
        <f>IF(LOWER(Basis)="ibnp",'paid claim lag dump'!C9,'reported claim lag dump'!C9)</f>
        <v>13659</v>
      </c>
      <c r="D9" s="209">
        <f>IF(LOWER(Basis)="ibnp",'paid claim lag dump'!D9,'reported claim lag dump'!D9)</f>
        <v>80920</v>
      </c>
      <c r="E9" s="209">
        <f>IF(LOWER(Basis)="ibnp",'paid claim lag dump'!E9,'reported claim lag dump'!E9)</f>
        <v>40769</v>
      </c>
      <c r="F9" s="209">
        <f>IF(LOWER(Basis)="ibnp",'paid claim lag dump'!F9,'reported claim lag dump'!F9)</f>
        <v>15086</v>
      </c>
      <c r="G9" s="209">
        <f>IF(LOWER(Basis)="ibnp",'paid claim lag dump'!G9,'reported claim lag dump'!G9)</f>
        <v>8570</v>
      </c>
      <c r="H9" s="209">
        <f>IF(LOWER(Basis)="ibnp",'paid claim lag dump'!H9,'reported claim lag dump'!H9)</f>
        <v>4171</v>
      </c>
      <c r="I9" s="209">
        <f>IF(LOWER(Basis)="ibnp",'paid claim lag dump'!I9,'reported claim lag dump'!I9)</f>
        <v>913</v>
      </c>
      <c r="J9" s="209">
        <f>IF(LOWER(Basis)="ibnp",'paid claim lag dump'!J9,'reported claim lag dump'!J9)</f>
        <v>593</v>
      </c>
      <c r="K9" s="209">
        <f>IF(LOWER(Basis)="ibnp",'paid claim lag dump'!K9,'reported claim lag dump'!K9)</f>
        <v>0</v>
      </c>
      <c r="L9" s="209">
        <f>IF(LOWER(Basis)="ibnp",'paid claim lag dump'!L9,'reported claim lag dump'!L9)</f>
        <v>0</v>
      </c>
      <c r="M9" s="209">
        <f>IF(LOWER(Basis)="ibnp",'paid claim lag dump'!M9,'reported claim lag dump'!M9)</f>
        <v>0</v>
      </c>
      <c r="N9" s="209">
        <f>IF(LOWER(Basis)="ibnp",'paid claim lag dump'!N9,'reported claim lag dump'!N9)</f>
        <v>0</v>
      </c>
      <c r="O9" s="209">
        <f>IF(LOWER(Basis)="ibnp",'paid claim lag dump'!O9,'reported claim lag dump'!O9)</f>
        <v>0</v>
      </c>
      <c r="P9" s="209">
        <f>IF(LOWER(Basis)="ibnp",'paid claim lag dump'!P9,'reported claim lag dump'!P9)</f>
        <v>0</v>
      </c>
      <c r="Q9" s="209">
        <f>IF(LOWER(Basis)="ibnp",'paid claim lag dump'!Q9,'reported claim lag dump'!Q9)</f>
        <v>0</v>
      </c>
      <c r="R9" s="209">
        <f>IF(LOWER(Basis)="ibnp",'paid claim lag dump'!R9,'reported claim lag dump'!R9)</f>
        <v>0</v>
      </c>
      <c r="S9" s="209">
        <f>IF(LOWER(Basis)="ibnp",'paid claim lag dump'!S9,'reported claim lag dump'!S9)</f>
        <v>0</v>
      </c>
      <c r="T9" s="209">
        <f>IF(LOWER(Basis)="ibnp",'paid claim lag dump'!T9,'reported claim lag dump'!T9)</f>
        <v>0</v>
      </c>
      <c r="U9" s="209">
        <f>IF(LOWER(Basis)="ibnp",'paid claim lag dump'!U9,'reported claim lag dump'!U9)</f>
        <v>0</v>
      </c>
      <c r="V9" s="209">
        <f>IF(LOWER(Basis)="ibnp",'paid claim lag dump'!V9,'reported claim lag dump'!V9)</f>
        <v>0</v>
      </c>
      <c r="W9" s="209">
        <f>IF(LOWER(Basis)="ibnp",'paid claim lag dump'!W9,'reported claim lag dump'!W9)</f>
        <v>0</v>
      </c>
      <c r="X9" s="209">
        <f>IF(LOWER(Basis)="ibnp",'paid claim lag dump'!X9,'reported claim lag dump'!X9)</f>
        <v>0</v>
      </c>
      <c r="Y9" s="209">
        <f>IF(LOWER(Basis)="ibnp",'paid claim lag dump'!Y9,'reported claim lag dump'!Y9)</f>
        <v>0</v>
      </c>
      <c r="Z9" s="209">
        <f>IF(LOWER(Basis)="ibnp",'paid claim lag dump'!Z9,'reported claim lag dump'!Z9)</f>
        <v>0</v>
      </c>
      <c r="AA9" s="209">
        <f>IF(LOWER(Basis)="ibnp",'paid claim lag dump'!AA9,'reported claim lag dump'!AA9)</f>
        <v>0</v>
      </c>
      <c r="AB9" s="209">
        <f>IF(LOWER(Basis)="ibnp",'paid claim lag dump'!AB9,'reported claim lag dump'!AB9)</f>
        <v>0</v>
      </c>
      <c r="AC9" s="209">
        <f>IF(LOWER(Basis)="ibnp",'paid claim lag dump'!AC9,'reported claim lag dump'!AC9)</f>
        <v>0</v>
      </c>
      <c r="AD9" s="209">
        <f>IF(LOWER(Basis)="ibnp",'paid claim lag dump'!AD9,'reported claim lag dump'!AD9)</f>
        <v>0</v>
      </c>
      <c r="AE9" s="209">
        <f>IF(LOWER(Basis)="ibnp",'paid claim lag dump'!AE9,'reported claim lag dump'!AE9)</f>
        <v>0</v>
      </c>
      <c r="AF9" s="209">
        <f>IF(LOWER(Basis)="ibnp",'paid claim lag dump'!AF9,'reported claim lag dump'!AF9)</f>
        <v>0</v>
      </c>
      <c r="AG9" s="209">
        <f>IF(LOWER(Basis)="ibnp",'paid claim lag dump'!AG9,'reported claim lag dump'!AG9)</f>
        <v>0</v>
      </c>
      <c r="AH9" s="209">
        <f>IF(LOWER(Basis)="ibnp",'paid claim lag dump'!AH9,'reported claim lag dump'!AH9)</f>
        <v>0</v>
      </c>
      <c r="AI9" s="209">
        <f>IF(LOWER(Basis)="ibnp",'paid claim lag dump'!AI9,'reported claim lag dump'!AI9)</f>
        <v>0</v>
      </c>
      <c r="AJ9" s="209">
        <f>IF(LOWER(Basis)="ibnp",'paid claim lag dump'!AJ9,'reported claim lag dump'!AJ9)</f>
        <v>0</v>
      </c>
      <c r="AK9" s="209">
        <f>IF(LOWER(Basis)="ibnp",'paid claim lag dump'!AK9,'reported claim lag dump'!AK9)</f>
        <v>0</v>
      </c>
      <c r="AL9" s="209">
        <f>IF(LOWER(Basis)="ibnp",'paid claim lag dump'!AL9,'reported claim lag dump'!AL9)</f>
        <v>0</v>
      </c>
      <c r="AM9" s="207"/>
    </row>
    <row r="10" spans="1:39" ht="12.75">
      <c r="A10" s="204"/>
      <c r="B10" s="208">
        <f>'general dump'!B10</f>
        <v>36220</v>
      </c>
      <c r="C10" s="209">
        <f>IF(LOWER(Basis)="ibnp",'paid claim lag dump'!C10,'reported claim lag dump'!C10)</f>
        <v>57935</v>
      </c>
      <c r="D10" s="209">
        <f>IF(LOWER(Basis)="ibnp",'paid claim lag dump'!D10,'reported claim lag dump'!D10)</f>
        <v>68120</v>
      </c>
      <c r="E10" s="209">
        <f>IF(LOWER(Basis)="ibnp",'paid claim lag dump'!E10,'reported claim lag dump'!E10)</f>
        <v>13660</v>
      </c>
      <c r="F10" s="209">
        <f>IF(LOWER(Basis)="ibnp",'paid claim lag dump'!F10,'reported claim lag dump'!F10)</f>
        <v>10719</v>
      </c>
      <c r="G10" s="209">
        <f>IF(LOWER(Basis)="ibnp",'paid claim lag dump'!G10,'reported claim lag dump'!G10)</f>
        <v>11697</v>
      </c>
      <c r="H10" s="209">
        <f>IF(LOWER(Basis)="ibnp",'paid claim lag dump'!H10,'reported claim lag dump'!H10)</f>
        <v>1703</v>
      </c>
      <c r="I10" s="209">
        <f>IF(LOWER(Basis)="ibnp",'paid claim lag dump'!I10,'reported claim lag dump'!I10)</f>
        <v>254</v>
      </c>
      <c r="J10" s="209">
        <f>IF(LOWER(Basis)="ibnp",'paid claim lag dump'!J10,'reported claim lag dump'!J10)</f>
        <v>593</v>
      </c>
      <c r="K10" s="209">
        <f>IF(LOWER(Basis)="ibnp",'paid claim lag dump'!K10,'reported claim lag dump'!K10)</f>
        <v>0</v>
      </c>
      <c r="L10" s="209">
        <f>IF(LOWER(Basis)="ibnp",'paid claim lag dump'!L10,'reported claim lag dump'!L10)</f>
        <v>0</v>
      </c>
      <c r="M10" s="209">
        <f>IF(LOWER(Basis)="ibnp",'paid claim lag dump'!M10,'reported claim lag dump'!M10)</f>
        <v>0</v>
      </c>
      <c r="N10" s="209">
        <f>IF(LOWER(Basis)="ibnp",'paid claim lag dump'!N10,'reported claim lag dump'!N10)</f>
        <v>0</v>
      </c>
      <c r="O10" s="209">
        <f>IF(LOWER(Basis)="ibnp",'paid claim lag dump'!O10,'reported claim lag dump'!O10)</f>
        <v>0</v>
      </c>
      <c r="P10" s="209">
        <f>IF(LOWER(Basis)="ibnp",'paid claim lag dump'!P10,'reported claim lag dump'!P10)</f>
        <v>0</v>
      </c>
      <c r="Q10" s="209">
        <f>IF(LOWER(Basis)="ibnp",'paid claim lag dump'!Q10,'reported claim lag dump'!Q10)</f>
        <v>0</v>
      </c>
      <c r="R10" s="209">
        <f>IF(LOWER(Basis)="ibnp",'paid claim lag dump'!R10,'reported claim lag dump'!R10)</f>
        <v>0</v>
      </c>
      <c r="S10" s="209">
        <f>IF(LOWER(Basis)="ibnp",'paid claim lag dump'!S10,'reported claim lag dump'!S10)</f>
        <v>0</v>
      </c>
      <c r="T10" s="209">
        <f>IF(LOWER(Basis)="ibnp",'paid claim lag dump'!T10,'reported claim lag dump'!T10)</f>
        <v>0</v>
      </c>
      <c r="U10" s="209">
        <f>IF(LOWER(Basis)="ibnp",'paid claim lag dump'!U10,'reported claim lag dump'!U10)</f>
        <v>0</v>
      </c>
      <c r="V10" s="209">
        <f>IF(LOWER(Basis)="ibnp",'paid claim lag dump'!V10,'reported claim lag dump'!V10)</f>
        <v>0</v>
      </c>
      <c r="W10" s="209">
        <f>IF(LOWER(Basis)="ibnp",'paid claim lag dump'!W10,'reported claim lag dump'!W10)</f>
        <v>0</v>
      </c>
      <c r="X10" s="209">
        <f>IF(LOWER(Basis)="ibnp",'paid claim lag dump'!X10,'reported claim lag dump'!X10)</f>
        <v>0</v>
      </c>
      <c r="Y10" s="209">
        <f>IF(LOWER(Basis)="ibnp",'paid claim lag dump'!Y10,'reported claim lag dump'!Y10)</f>
        <v>0</v>
      </c>
      <c r="Z10" s="209">
        <f>IF(LOWER(Basis)="ibnp",'paid claim lag dump'!Z10,'reported claim lag dump'!Z10)</f>
        <v>0</v>
      </c>
      <c r="AA10" s="209">
        <f>IF(LOWER(Basis)="ibnp",'paid claim lag dump'!AA10,'reported claim lag dump'!AA10)</f>
        <v>0</v>
      </c>
      <c r="AB10" s="209">
        <f>IF(LOWER(Basis)="ibnp",'paid claim lag dump'!AB10,'reported claim lag dump'!AB10)</f>
        <v>0</v>
      </c>
      <c r="AC10" s="209">
        <f>IF(LOWER(Basis)="ibnp",'paid claim lag dump'!AC10,'reported claim lag dump'!AC10)</f>
        <v>0</v>
      </c>
      <c r="AD10" s="209">
        <f>IF(LOWER(Basis)="ibnp",'paid claim lag dump'!AD10,'reported claim lag dump'!AD10)</f>
        <v>0</v>
      </c>
      <c r="AE10" s="209">
        <f>IF(LOWER(Basis)="ibnp",'paid claim lag dump'!AE10,'reported claim lag dump'!AE10)</f>
        <v>0</v>
      </c>
      <c r="AF10" s="209">
        <f>IF(LOWER(Basis)="ibnp",'paid claim lag dump'!AF10,'reported claim lag dump'!AF10)</f>
        <v>0</v>
      </c>
      <c r="AG10" s="209">
        <f>IF(LOWER(Basis)="ibnp",'paid claim lag dump'!AG10,'reported claim lag dump'!AG10)</f>
        <v>0</v>
      </c>
      <c r="AH10" s="209">
        <f>IF(LOWER(Basis)="ibnp",'paid claim lag dump'!AH10,'reported claim lag dump'!AH10)</f>
        <v>0</v>
      </c>
      <c r="AI10" s="209">
        <f>IF(LOWER(Basis)="ibnp",'paid claim lag dump'!AI10,'reported claim lag dump'!AI10)</f>
        <v>0</v>
      </c>
      <c r="AJ10" s="209">
        <f>IF(LOWER(Basis)="ibnp",'paid claim lag dump'!AJ10,'reported claim lag dump'!AJ10)</f>
        <v>0</v>
      </c>
      <c r="AK10" s="209">
        <f>IF(LOWER(Basis)="ibnp",'paid claim lag dump'!AK10,'reported claim lag dump'!AK10)</f>
        <v>0</v>
      </c>
      <c r="AL10" s="209">
        <f>IF(LOWER(Basis)="ibnp",'paid claim lag dump'!AL10,'reported claim lag dump'!AL10)</f>
        <v>0</v>
      </c>
      <c r="AM10" s="207"/>
    </row>
    <row r="11" spans="1:39" ht="12.75">
      <c r="A11" s="204"/>
      <c r="B11" s="208">
        <f>'general dump'!B11</f>
        <v>36251</v>
      </c>
      <c r="C11" s="209">
        <f>IF(LOWER(Basis)="ibnp",'paid claim lag dump'!C11,'reported claim lag dump'!C11)</f>
        <v>16933</v>
      </c>
      <c r="D11" s="209">
        <f>IF(LOWER(Basis)="ibnp",'paid claim lag dump'!D11,'reported claim lag dump'!D11)</f>
        <v>64705</v>
      </c>
      <c r="E11" s="209">
        <f>IF(LOWER(Basis)="ibnp",'paid claim lag dump'!E11,'reported claim lag dump'!E11)</f>
        <v>35845</v>
      </c>
      <c r="F11" s="209">
        <f>IF(LOWER(Basis)="ibnp",'paid claim lag dump'!F11,'reported claim lag dump'!F11)</f>
        <v>36513</v>
      </c>
      <c r="G11" s="209">
        <f>IF(LOWER(Basis)="ibnp",'paid claim lag dump'!G11,'reported claim lag dump'!G11)</f>
        <v>13434</v>
      </c>
      <c r="H11" s="209">
        <f>IF(LOWER(Basis)="ibnp",'paid claim lag dump'!H11,'reported claim lag dump'!H11)</f>
        <v>1335</v>
      </c>
      <c r="I11" s="209">
        <f>IF(LOWER(Basis)="ibnp",'paid claim lag dump'!I11,'reported claim lag dump'!I11)</f>
        <v>1739</v>
      </c>
      <c r="J11" s="209">
        <f>IF(LOWER(Basis)="ibnp",'paid claim lag dump'!J11,'reported claim lag dump'!J11)</f>
        <v>150</v>
      </c>
      <c r="K11" s="209">
        <f>IF(LOWER(Basis)="ibnp",'paid claim lag dump'!K11,'reported claim lag dump'!K11)</f>
        <v>64</v>
      </c>
      <c r="L11" s="209">
        <f>IF(LOWER(Basis)="ibnp",'paid claim lag dump'!L11,'reported claim lag dump'!L11)</f>
        <v>1055</v>
      </c>
      <c r="M11" s="209">
        <f>IF(LOWER(Basis)="ibnp",'paid claim lag dump'!M11,'reported claim lag dump'!M11)</f>
        <v>0</v>
      </c>
      <c r="N11" s="209">
        <f>IF(LOWER(Basis)="ibnp",'paid claim lag dump'!N11,'reported claim lag dump'!N11)</f>
        <v>0</v>
      </c>
      <c r="O11" s="209">
        <f>IF(LOWER(Basis)="ibnp",'paid claim lag dump'!O11,'reported claim lag dump'!O11)</f>
        <v>0</v>
      </c>
      <c r="P11" s="209">
        <f>IF(LOWER(Basis)="ibnp",'paid claim lag dump'!P11,'reported claim lag dump'!P11)</f>
        <v>0</v>
      </c>
      <c r="Q11" s="209">
        <f>IF(LOWER(Basis)="ibnp",'paid claim lag dump'!Q11,'reported claim lag dump'!Q11)</f>
        <v>0</v>
      </c>
      <c r="R11" s="209">
        <f>IF(LOWER(Basis)="ibnp",'paid claim lag dump'!R11,'reported claim lag dump'!R11)</f>
        <v>0</v>
      </c>
      <c r="S11" s="209">
        <f>IF(LOWER(Basis)="ibnp",'paid claim lag dump'!S11,'reported claim lag dump'!S11)</f>
        <v>0</v>
      </c>
      <c r="T11" s="209">
        <f>IF(LOWER(Basis)="ibnp",'paid claim lag dump'!T11,'reported claim lag dump'!T11)</f>
        <v>0</v>
      </c>
      <c r="U11" s="209">
        <f>IF(LOWER(Basis)="ibnp",'paid claim lag dump'!U11,'reported claim lag dump'!U11)</f>
        <v>0</v>
      </c>
      <c r="V11" s="209">
        <f>IF(LOWER(Basis)="ibnp",'paid claim lag dump'!V11,'reported claim lag dump'!V11)</f>
        <v>0</v>
      </c>
      <c r="W11" s="209">
        <f>IF(LOWER(Basis)="ibnp",'paid claim lag dump'!W11,'reported claim lag dump'!W11)</f>
        <v>0</v>
      </c>
      <c r="X11" s="209">
        <f>IF(LOWER(Basis)="ibnp",'paid claim lag dump'!X11,'reported claim lag dump'!X11)</f>
        <v>0</v>
      </c>
      <c r="Y11" s="209">
        <f>IF(LOWER(Basis)="ibnp",'paid claim lag dump'!Y11,'reported claim lag dump'!Y11)</f>
        <v>0</v>
      </c>
      <c r="Z11" s="209">
        <f>IF(LOWER(Basis)="ibnp",'paid claim lag dump'!Z11,'reported claim lag dump'!Z11)</f>
        <v>0</v>
      </c>
      <c r="AA11" s="209">
        <f>IF(LOWER(Basis)="ibnp",'paid claim lag dump'!AA11,'reported claim lag dump'!AA11)</f>
        <v>0</v>
      </c>
      <c r="AB11" s="209">
        <f>IF(LOWER(Basis)="ibnp",'paid claim lag dump'!AB11,'reported claim lag dump'!AB11)</f>
        <v>0</v>
      </c>
      <c r="AC11" s="209">
        <f>IF(LOWER(Basis)="ibnp",'paid claim lag dump'!AC11,'reported claim lag dump'!AC11)</f>
        <v>0</v>
      </c>
      <c r="AD11" s="209">
        <f>IF(LOWER(Basis)="ibnp",'paid claim lag dump'!AD11,'reported claim lag dump'!AD11)</f>
        <v>0</v>
      </c>
      <c r="AE11" s="209">
        <f>IF(LOWER(Basis)="ibnp",'paid claim lag dump'!AE11,'reported claim lag dump'!AE11)</f>
        <v>0</v>
      </c>
      <c r="AF11" s="209">
        <f>IF(LOWER(Basis)="ibnp",'paid claim lag dump'!AF11,'reported claim lag dump'!AF11)</f>
        <v>0</v>
      </c>
      <c r="AG11" s="209">
        <f>IF(LOWER(Basis)="ibnp",'paid claim lag dump'!AG11,'reported claim lag dump'!AG11)</f>
        <v>0</v>
      </c>
      <c r="AH11" s="209">
        <f>IF(LOWER(Basis)="ibnp",'paid claim lag dump'!AH11,'reported claim lag dump'!AH11)</f>
        <v>0</v>
      </c>
      <c r="AI11" s="209">
        <f>IF(LOWER(Basis)="ibnp",'paid claim lag dump'!AI11,'reported claim lag dump'!AI11)</f>
        <v>0</v>
      </c>
      <c r="AJ11" s="209">
        <f>IF(LOWER(Basis)="ibnp",'paid claim lag dump'!AJ11,'reported claim lag dump'!AJ11)</f>
        <v>0</v>
      </c>
      <c r="AK11" s="209">
        <f>IF(LOWER(Basis)="ibnp",'paid claim lag dump'!AK11,'reported claim lag dump'!AK11)</f>
        <v>0</v>
      </c>
      <c r="AL11" s="209">
        <f>IF(LOWER(Basis)="ibnp",'paid claim lag dump'!AL11,'reported claim lag dump'!AL11)</f>
        <v>0</v>
      </c>
      <c r="AM11" s="207"/>
    </row>
    <row r="12" spans="1:39" ht="12.75">
      <c r="A12" s="204"/>
      <c r="B12" s="208">
        <f>'general dump'!B12</f>
        <v>36281</v>
      </c>
      <c r="C12" s="209">
        <f>IF(LOWER(Basis)="ibnp",'paid claim lag dump'!C12,'reported claim lag dump'!C12)</f>
        <v>36127</v>
      </c>
      <c r="D12" s="209">
        <f>IF(LOWER(Basis)="ibnp",'paid claim lag dump'!D12,'reported claim lag dump'!D12)</f>
        <v>62953</v>
      </c>
      <c r="E12" s="209">
        <f>IF(LOWER(Basis)="ibnp",'paid claim lag dump'!E12,'reported claim lag dump'!E12)</f>
        <v>22027</v>
      </c>
      <c r="F12" s="209">
        <f>IF(LOWER(Basis)="ibnp",'paid claim lag dump'!F12,'reported claim lag dump'!F12)</f>
        <v>34250</v>
      </c>
      <c r="G12" s="209">
        <f>IF(LOWER(Basis)="ibnp",'paid claim lag dump'!G12,'reported claim lag dump'!G12)</f>
        <v>12905</v>
      </c>
      <c r="H12" s="209">
        <f>IF(LOWER(Basis)="ibnp",'paid claim lag dump'!H12,'reported claim lag dump'!H12)</f>
        <v>1541</v>
      </c>
      <c r="I12" s="209">
        <f>IF(LOWER(Basis)="ibnp",'paid claim lag dump'!I12,'reported claim lag dump'!I12)</f>
        <v>701</v>
      </c>
      <c r="J12" s="209">
        <f>IF(LOWER(Basis)="ibnp",'paid claim lag dump'!J12,'reported claim lag dump'!J12)</f>
        <v>150</v>
      </c>
      <c r="K12" s="209">
        <f>IF(LOWER(Basis)="ibnp",'paid claim lag dump'!K12,'reported claim lag dump'!K12)</f>
        <v>64</v>
      </c>
      <c r="L12" s="209">
        <f>IF(LOWER(Basis)="ibnp",'paid claim lag dump'!L12,'reported claim lag dump'!L12)</f>
        <v>1055</v>
      </c>
      <c r="M12" s="209">
        <f>IF(LOWER(Basis)="ibnp",'paid claim lag dump'!M12,'reported claim lag dump'!M12)</f>
        <v>0</v>
      </c>
      <c r="N12" s="209">
        <f>IF(LOWER(Basis)="ibnp",'paid claim lag dump'!N12,'reported claim lag dump'!N12)</f>
        <v>0</v>
      </c>
      <c r="O12" s="209">
        <f>IF(LOWER(Basis)="ibnp",'paid claim lag dump'!O12,'reported claim lag dump'!O12)</f>
        <v>0</v>
      </c>
      <c r="P12" s="209">
        <f>IF(LOWER(Basis)="ibnp",'paid claim lag dump'!P12,'reported claim lag dump'!P12)</f>
        <v>0</v>
      </c>
      <c r="Q12" s="209">
        <f>IF(LOWER(Basis)="ibnp",'paid claim lag dump'!Q12,'reported claim lag dump'!Q12)</f>
        <v>0</v>
      </c>
      <c r="R12" s="209">
        <f>IF(LOWER(Basis)="ibnp",'paid claim lag dump'!R12,'reported claim lag dump'!R12)</f>
        <v>0</v>
      </c>
      <c r="S12" s="209">
        <f>IF(LOWER(Basis)="ibnp",'paid claim lag dump'!S12,'reported claim lag dump'!S12)</f>
        <v>0</v>
      </c>
      <c r="T12" s="209">
        <f>IF(LOWER(Basis)="ibnp",'paid claim lag dump'!T12,'reported claim lag dump'!T12)</f>
        <v>0</v>
      </c>
      <c r="U12" s="209">
        <f>IF(LOWER(Basis)="ibnp",'paid claim lag dump'!U12,'reported claim lag dump'!U12)</f>
        <v>0</v>
      </c>
      <c r="V12" s="209">
        <f>IF(LOWER(Basis)="ibnp",'paid claim lag dump'!V12,'reported claim lag dump'!V12)</f>
        <v>0</v>
      </c>
      <c r="W12" s="209">
        <f>IF(LOWER(Basis)="ibnp",'paid claim lag dump'!W12,'reported claim lag dump'!W12)</f>
        <v>0</v>
      </c>
      <c r="X12" s="209">
        <f>IF(LOWER(Basis)="ibnp",'paid claim lag dump'!X12,'reported claim lag dump'!X12)</f>
        <v>0</v>
      </c>
      <c r="Y12" s="209">
        <f>IF(LOWER(Basis)="ibnp",'paid claim lag dump'!Y12,'reported claim lag dump'!Y12)</f>
        <v>0</v>
      </c>
      <c r="Z12" s="209">
        <f>IF(LOWER(Basis)="ibnp",'paid claim lag dump'!Z12,'reported claim lag dump'!Z12)</f>
        <v>0</v>
      </c>
      <c r="AA12" s="209">
        <f>IF(LOWER(Basis)="ibnp",'paid claim lag dump'!AA12,'reported claim lag dump'!AA12)</f>
        <v>0</v>
      </c>
      <c r="AB12" s="209">
        <f>IF(LOWER(Basis)="ibnp",'paid claim lag dump'!AB12,'reported claim lag dump'!AB12)</f>
        <v>0</v>
      </c>
      <c r="AC12" s="209">
        <f>IF(LOWER(Basis)="ibnp",'paid claim lag dump'!AC12,'reported claim lag dump'!AC12)</f>
        <v>0</v>
      </c>
      <c r="AD12" s="209">
        <f>IF(LOWER(Basis)="ibnp",'paid claim lag dump'!AD12,'reported claim lag dump'!AD12)</f>
        <v>0</v>
      </c>
      <c r="AE12" s="209">
        <f>IF(LOWER(Basis)="ibnp",'paid claim lag dump'!AE12,'reported claim lag dump'!AE12)</f>
        <v>0</v>
      </c>
      <c r="AF12" s="209">
        <f>IF(LOWER(Basis)="ibnp",'paid claim lag dump'!AF12,'reported claim lag dump'!AF12)</f>
        <v>0</v>
      </c>
      <c r="AG12" s="209">
        <f>IF(LOWER(Basis)="ibnp",'paid claim lag dump'!AG12,'reported claim lag dump'!AG12)</f>
        <v>0</v>
      </c>
      <c r="AH12" s="209">
        <f>IF(LOWER(Basis)="ibnp",'paid claim lag dump'!AH12,'reported claim lag dump'!AH12)</f>
        <v>0</v>
      </c>
      <c r="AI12" s="209">
        <f>IF(LOWER(Basis)="ibnp",'paid claim lag dump'!AI12,'reported claim lag dump'!AI12)</f>
        <v>0</v>
      </c>
      <c r="AJ12" s="209">
        <f>IF(LOWER(Basis)="ibnp",'paid claim lag dump'!AJ12,'reported claim lag dump'!AJ12)</f>
        <v>0</v>
      </c>
      <c r="AK12" s="209">
        <f>IF(LOWER(Basis)="ibnp",'paid claim lag dump'!AK12,'reported claim lag dump'!AK12)</f>
        <v>0</v>
      </c>
      <c r="AL12" s="209">
        <f>IF(LOWER(Basis)="ibnp",'paid claim lag dump'!AL12,'reported claim lag dump'!AL12)</f>
        <v>0</v>
      </c>
      <c r="AM12" s="207"/>
    </row>
    <row r="13" spans="1:39" ht="12.75">
      <c r="A13" s="204"/>
      <c r="B13" s="208">
        <f>'general dump'!B13</f>
        <v>36312</v>
      </c>
      <c r="C13" s="209">
        <f>IF(LOWER(Basis)="ibnp",'paid claim lag dump'!C13,'reported claim lag dump'!C13)</f>
        <v>16631</v>
      </c>
      <c r="D13" s="209">
        <f>IF(LOWER(Basis)="ibnp",'paid claim lag dump'!D13,'reported claim lag dump'!D13)</f>
        <v>145028</v>
      </c>
      <c r="E13" s="209">
        <f>IF(LOWER(Basis)="ibnp",'paid claim lag dump'!E13,'reported claim lag dump'!E13)</f>
        <v>48307</v>
      </c>
      <c r="F13" s="209">
        <f>IF(LOWER(Basis)="ibnp",'paid claim lag dump'!F13,'reported claim lag dump'!F13)</f>
        <v>6744</v>
      </c>
      <c r="G13" s="209">
        <f>IF(LOWER(Basis)="ibnp",'paid claim lag dump'!G13,'reported claim lag dump'!G13)</f>
        <v>43499</v>
      </c>
      <c r="H13" s="209">
        <f>IF(LOWER(Basis)="ibnp",'paid claim lag dump'!H13,'reported claim lag dump'!H13)</f>
        <v>10999</v>
      </c>
      <c r="I13" s="209">
        <f>IF(LOWER(Basis)="ibnp",'paid claim lag dump'!I13,'reported claim lag dump'!I13)</f>
        <v>6831</v>
      </c>
      <c r="J13" s="209">
        <f>IF(LOWER(Basis)="ibnp",'paid claim lag dump'!J13,'reported claim lag dump'!J13)</f>
        <v>14862</v>
      </c>
      <c r="K13" s="209">
        <f>IF(LOWER(Basis)="ibnp",'paid claim lag dump'!K13,'reported claim lag dump'!K13)</f>
        <v>638</v>
      </c>
      <c r="L13" s="209">
        <f>IF(LOWER(Basis)="ibnp",'paid claim lag dump'!L13,'reported claim lag dump'!L13)</f>
        <v>86</v>
      </c>
      <c r="M13" s="209">
        <f>IF(LOWER(Basis)="ibnp",'paid claim lag dump'!M13,'reported claim lag dump'!M13)</f>
        <v>0</v>
      </c>
      <c r="N13" s="209">
        <f>IF(LOWER(Basis)="ibnp",'paid claim lag dump'!N13,'reported claim lag dump'!N13)</f>
        <v>420</v>
      </c>
      <c r="O13" s="209">
        <f>IF(LOWER(Basis)="ibnp",'paid claim lag dump'!O13,'reported claim lag dump'!O13)</f>
        <v>0</v>
      </c>
      <c r="P13" s="209">
        <f>IF(LOWER(Basis)="ibnp",'paid claim lag dump'!P13,'reported claim lag dump'!P13)</f>
        <v>0</v>
      </c>
      <c r="Q13" s="209">
        <f>IF(LOWER(Basis)="ibnp",'paid claim lag dump'!Q13,'reported claim lag dump'!Q13)</f>
        <v>0</v>
      </c>
      <c r="R13" s="209">
        <f>IF(LOWER(Basis)="ibnp",'paid claim lag dump'!R13,'reported claim lag dump'!R13)</f>
        <v>0</v>
      </c>
      <c r="S13" s="209">
        <f>IF(LOWER(Basis)="ibnp",'paid claim lag dump'!S13,'reported claim lag dump'!S13)</f>
        <v>0</v>
      </c>
      <c r="T13" s="209">
        <f>IF(LOWER(Basis)="ibnp",'paid claim lag dump'!T13,'reported claim lag dump'!T13)</f>
        <v>0</v>
      </c>
      <c r="U13" s="209">
        <f>IF(LOWER(Basis)="ibnp",'paid claim lag dump'!U13,'reported claim lag dump'!U13)</f>
        <v>0</v>
      </c>
      <c r="V13" s="209">
        <f>IF(LOWER(Basis)="ibnp",'paid claim lag dump'!V13,'reported claim lag dump'!V13)</f>
        <v>0</v>
      </c>
      <c r="W13" s="209">
        <f>IF(LOWER(Basis)="ibnp",'paid claim lag dump'!W13,'reported claim lag dump'!W13)</f>
        <v>0</v>
      </c>
      <c r="X13" s="209">
        <f>IF(LOWER(Basis)="ibnp",'paid claim lag dump'!X13,'reported claim lag dump'!X13)</f>
        <v>0</v>
      </c>
      <c r="Y13" s="209">
        <f>IF(LOWER(Basis)="ibnp",'paid claim lag dump'!Y13,'reported claim lag dump'!Y13)</f>
        <v>0</v>
      </c>
      <c r="Z13" s="209">
        <f>IF(LOWER(Basis)="ibnp",'paid claim lag dump'!Z13,'reported claim lag dump'!Z13)</f>
        <v>0</v>
      </c>
      <c r="AA13" s="209">
        <f>IF(LOWER(Basis)="ibnp",'paid claim lag dump'!AA13,'reported claim lag dump'!AA13)</f>
        <v>0</v>
      </c>
      <c r="AB13" s="209">
        <f>IF(LOWER(Basis)="ibnp",'paid claim lag dump'!AB13,'reported claim lag dump'!AB13)</f>
        <v>0</v>
      </c>
      <c r="AC13" s="209">
        <f>IF(LOWER(Basis)="ibnp",'paid claim lag dump'!AC13,'reported claim lag dump'!AC13)</f>
        <v>0</v>
      </c>
      <c r="AD13" s="209">
        <f>IF(LOWER(Basis)="ibnp",'paid claim lag dump'!AD13,'reported claim lag dump'!AD13)</f>
        <v>0</v>
      </c>
      <c r="AE13" s="209">
        <f>IF(LOWER(Basis)="ibnp",'paid claim lag dump'!AE13,'reported claim lag dump'!AE13)</f>
        <v>0</v>
      </c>
      <c r="AF13" s="209">
        <f>IF(LOWER(Basis)="ibnp",'paid claim lag dump'!AF13,'reported claim lag dump'!AF13)</f>
        <v>0</v>
      </c>
      <c r="AG13" s="209">
        <f>IF(LOWER(Basis)="ibnp",'paid claim lag dump'!AG13,'reported claim lag dump'!AG13)</f>
        <v>0</v>
      </c>
      <c r="AH13" s="209">
        <f>IF(LOWER(Basis)="ibnp",'paid claim lag dump'!AH13,'reported claim lag dump'!AH13)</f>
        <v>0</v>
      </c>
      <c r="AI13" s="209">
        <f>IF(LOWER(Basis)="ibnp",'paid claim lag dump'!AI13,'reported claim lag dump'!AI13)</f>
        <v>0</v>
      </c>
      <c r="AJ13" s="209">
        <f>IF(LOWER(Basis)="ibnp",'paid claim lag dump'!AJ13,'reported claim lag dump'!AJ13)</f>
        <v>0</v>
      </c>
      <c r="AK13" s="209">
        <f>IF(LOWER(Basis)="ibnp",'paid claim lag dump'!AK13,'reported claim lag dump'!AK13)</f>
        <v>0</v>
      </c>
      <c r="AL13" s="209">
        <f>IF(LOWER(Basis)="ibnp",'paid claim lag dump'!AL13,'reported claim lag dump'!AL13)</f>
        <v>0</v>
      </c>
      <c r="AM13" s="207"/>
    </row>
    <row r="14" spans="1:39" ht="12.75">
      <c r="A14" s="204"/>
      <c r="B14" s="208">
        <f>'general dump'!B14</f>
        <v>36342</v>
      </c>
      <c r="C14" s="209">
        <f>IF(LOWER(Basis)="ibnp",'paid claim lag dump'!C14,'reported claim lag dump'!C14)</f>
        <v>98502</v>
      </c>
      <c r="D14" s="209">
        <f>IF(LOWER(Basis)="ibnp",'paid claim lag dump'!D14,'reported claim lag dump'!D14)</f>
        <v>96530</v>
      </c>
      <c r="E14" s="209">
        <f>IF(LOWER(Basis)="ibnp",'paid claim lag dump'!E14,'reported claim lag dump'!E14)</f>
        <v>25198</v>
      </c>
      <c r="F14" s="209">
        <f>IF(LOWER(Basis)="ibnp",'paid claim lag dump'!F14,'reported claim lag dump'!F14)</f>
        <v>25454</v>
      </c>
      <c r="G14" s="209">
        <f>IF(LOWER(Basis)="ibnp",'paid claim lag dump'!G14,'reported claim lag dump'!G14)</f>
        <v>21540</v>
      </c>
      <c r="H14" s="209">
        <f>IF(LOWER(Basis)="ibnp",'paid claim lag dump'!H14,'reported claim lag dump'!H14)</f>
        <v>10627</v>
      </c>
      <c r="I14" s="209">
        <f>IF(LOWER(Basis)="ibnp",'paid claim lag dump'!I14,'reported claim lag dump'!I14)</f>
        <v>188</v>
      </c>
      <c r="J14" s="209">
        <f>IF(LOWER(Basis)="ibnp",'paid claim lag dump'!J14,'reported claim lag dump'!J14)</f>
        <v>14862</v>
      </c>
      <c r="K14" s="209">
        <f>IF(LOWER(Basis)="ibnp",'paid claim lag dump'!K14,'reported claim lag dump'!K14)</f>
        <v>711</v>
      </c>
      <c r="L14" s="209">
        <f>IF(LOWER(Basis)="ibnp",'paid claim lag dump'!L14,'reported claim lag dump'!L14)</f>
        <v>13</v>
      </c>
      <c r="M14" s="209">
        <f>IF(LOWER(Basis)="ibnp",'paid claim lag dump'!M14,'reported claim lag dump'!M14)</f>
        <v>420</v>
      </c>
      <c r="N14" s="209">
        <f>IF(LOWER(Basis)="ibnp",'paid claim lag dump'!N14,'reported claim lag dump'!N14)</f>
        <v>0</v>
      </c>
      <c r="O14" s="209">
        <f>IF(LOWER(Basis)="ibnp",'paid claim lag dump'!O14,'reported claim lag dump'!O14)</f>
        <v>0</v>
      </c>
      <c r="P14" s="209">
        <f>IF(LOWER(Basis)="ibnp",'paid claim lag dump'!P14,'reported claim lag dump'!P14)</f>
        <v>0</v>
      </c>
      <c r="Q14" s="209">
        <f>IF(LOWER(Basis)="ibnp",'paid claim lag dump'!Q14,'reported claim lag dump'!Q14)</f>
        <v>0</v>
      </c>
      <c r="R14" s="209">
        <f>IF(LOWER(Basis)="ibnp",'paid claim lag dump'!R14,'reported claim lag dump'!R14)</f>
        <v>0</v>
      </c>
      <c r="S14" s="209">
        <f>IF(LOWER(Basis)="ibnp",'paid claim lag dump'!S14,'reported claim lag dump'!S14)</f>
        <v>0</v>
      </c>
      <c r="T14" s="209">
        <f>IF(LOWER(Basis)="ibnp",'paid claim lag dump'!T14,'reported claim lag dump'!T14)</f>
        <v>0</v>
      </c>
      <c r="U14" s="209">
        <f>IF(LOWER(Basis)="ibnp",'paid claim lag dump'!U14,'reported claim lag dump'!U14)</f>
        <v>0</v>
      </c>
      <c r="V14" s="209">
        <f>IF(LOWER(Basis)="ibnp",'paid claim lag dump'!V14,'reported claim lag dump'!V14)</f>
        <v>0</v>
      </c>
      <c r="W14" s="209">
        <f>IF(LOWER(Basis)="ibnp",'paid claim lag dump'!W14,'reported claim lag dump'!W14)</f>
        <v>0</v>
      </c>
      <c r="X14" s="209">
        <f>IF(LOWER(Basis)="ibnp",'paid claim lag dump'!X14,'reported claim lag dump'!X14)</f>
        <v>0</v>
      </c>
      <c r="Y14" s="209">
        <f>IF(LOWER(Basis)="ibnp",'paid claim lag dump'!Y14,'reported claim lag dump'!Y14)</f>
        <v>0</v>
      </c>
      <c r="Z14" s="209">
        <f>IF(LOWER(Basis)="ibnp",'paid claim lag dump'!Z14,'reported claim lag dump'!Z14)</f>
        <v>0</v>
      </c>
      <c r="AA14" s="209">
        <f>IF(LOWER(Basis)="ibnp",'paid claim lag dump'!AA14,'reported claim lag dump'!AA14)</f>
        <v>0</v>
      </c>
      <c r="AB14" s="209">
        <f>IF(LOWER(Basis)="ibnp",'paid claim lag dump'!AB14,'reported claim lag dump'!AB14)</f>
        <v>0</v>
      </c>
      <c r="AC14" s="209">
        <f>IF(LOWER(Basis)="ibnp",'paid claim lag dump'!AC14,'reported claim lag dump'!AC14)</f>
        <v>0</v>
      </c>
      <c r="AD14" s="209">
        <f>IF(LOWER(Basis)="ibnp",'paid claim lag dump'!AD14,'reported claim lag dump'!AD14)</f>
        <v>0</v>
      </c>
      <c r="AE14" s="209">
        <f>IF(LOWER(Basis)="ibnp",'paid claim lag dump'!AE14,'reported claim lag dump'!AE14)</f>
        <v>0</v>
      </c>
      <c r="AF14" s="209">
        <f>IF(LOWER(Basis)="ibnp",'paid claim lag dump'!AF14,'reported claim lag dump'!AF14)</f>
        <v>0</v>
      </c>
      <c r="AG14" s="209">
        <f>IF(LOWER(Basis)="ibnp",'paid claim lag dump'!AG14,'reported claim lag dump'!AG14)</f>
        <v>0</v>
      </c>
      <c r="AH14" s="209">
        <f>IF(LOWER(Basis)="ibnp",'paid claim lag dump'!AH14,'reported claim lag dump'!AH14)</f>
        <v>0</v>
      </c>
      <c r="AI14" s="209">
        <f>IF(LOWER(Basis)="ibnp",'paid claim lag dump'!AI14,'reported claim lag dump'!AI14)</f>
        <v>0</v>
      </c>
      <c r="AJ14" s="209">
        <f>IF(LOWER(Basis)="ibnp",'paid claim lag dump'!AJ14,'reported claim lag dump'!AJ14)</f>
        <v>0</v>
      </c>
      <c r="AK14" s="209">
        <f>IF(LOWER(Basis)="ibnp",'paid claim lag dump'!AK14,'reported claim lag dump'!AK14)</f>
        <v>0</v>
      </c>
      <c r="AL14" s="209">
        <f>IF(LOWER(Basis)="ibnp",'paid claim lag dump'!AL14,'reported claim lag dump'!AL14)</f>
        <v>0</v>
      </c>
      <c r="AM14" s="207"/>
    </row>
    <row r="15" spans="1:39" ht="12.75">
      <c r="A15" s="204"/>
      <c r="B15" s="208">
        <f>'general dump'!B15</f>
        <v>36373</v>
      </c>
      <c r="C15" s="209">
        <f>IF(LOWER(Basis)="ibnp",'paid claim lag dump'!C15,'reported claim lag dump'!C15)</f>
        <v>8178</v>
      </c>
      <c r="D15" s="209">
        <f>IF(LOWER(Basis)="ibnp",'paid claim lag dump'!D15,'reported claim lag dump'!D15)</f>
        <v>50538</v>
      </c>
      <c r="E15" s="209">
        <f>IF(LOWER(Basis)="ibnp",'paid claim lag dump'!E15,'reported claim lag dump'!E15)</f>
        <v>21390</v>
      </c>
      <c r="F15" s="209">
        <f>IF(LOWER(Basis)="ibnp",'paid claim lag dump'!F15,'reported claim lag dump'!F15)</f>
        <v>25812</v>
      </c>
      <c r="G15" s="209">
        <f>IF(LOWER(Basis)="ibnp",'paid claim lag dump'!G15,'reported claim lag dump'!G15)</f>
        <v>3445</v>
      </c>
      <c r="H15" s="209">
        <f>IF(LOWER(Basis)="ibnp",'paid claim lag dump'!H15,'reported claim lag dump'!H15)</f>
        <v>-482</v>
      </c>
      <c r="I15" s="209">
        <f>IF(LOWER(Basis)="ibnp",'paid claim lag dump'!I15,'reported claim lag dump'!I15)</f>
        <v>1182</v>
      </c>
      <c r="J15" s="209">
        <f>IF(LOWER(Basis)="ibnp",'paid claim lag dump'!J15,'reported claim lag dump'!J15)</f>
        <v>512</v>
      </c>
      <c r="K15" s="209">
        <f>IF(LOWER(Basis)="ibnp",'paid claim lag dump'!K15,'reported claim lag dump'!K15)</f>
        <v>61</v>
      </c>
      <c r="L15" s="209">
        <f>IF(LOWER(Basis)="ibnp",'paid claim lag dump'!L15,'reported claim lag dump'!L15)</f>
        <v>-300</v>
      </c>
      <c r="M15" s="209">
        <f>IF(LOWER(Basis)="ibnp",'paid claim lag dump'!M15,'reported claim lag dump'!M15)</f>
        <v>0</v>
      </c>
      <c r="N15" s="209">
        <f>IF(LOWER(Basis)="ibnp",'paid claim lag dump'!N15,'reported claim lag dump'!N15)</f>
        <v>454</v>
      </c>
      <c r="O15" s="209">
        <f>IF(LOWER(Basis)="ibnp",'paid claim lag dump'!O15,'reported claim lag dump'!O15)</f>
        <v>286</v>
      </c>
      <c r="P15" s="209">
        <f>IF(LOWER(Basis)="ibnp",'paid claim lag dump'!P15,'reported claim lag dump'!P15)</f>
        <v>0</v>
      </c>
      <c r="Q15" s="209">
        <f>IF(LOWER(Basis)="ibnp",'paid claim lag dump'!Q15,'reported claim lag dump'!Q15)</f>
        <v>0</v>
      </c>
      <c r="R15" s="209">
        <f>IF(LOWER(Basis)="ibnp",'paid claim lag dump'!R15,'reported claim lag dump'!R15)</f>
        <v>0</v>
      </c>
      <c r="S15" s="209">
        <f>IF(LOWER(Basis)="ibnp",'paid claim lag dump'!S15,'reported claim lag dump'!S15)</f>
        <v>0</v>
      </c>
      <c r="T15" s="209">
        <f>IF(LOWER(Basis)="ibnp",'paid claim lag dump'!T15,'reported claim lag dump'!T15)</f>
        <v>0</v>
      </c>
      <c r="U15" s="209">
        <f>IF(LOWER(Basis)="ibnp",'paid claim lag dump'!U15,'reported claim lag dump'!U15)</f>
        <v>0</v>
      </c>
      <c r="V15" s="209">
        <f>IF(LOWER(Basis)="ibnp",'paid claim lag dump'!V15,'reported claim lag dump'!V15)</f>
        <v>0</v>
      </c>
      <c r="W15" s="209">
        <f>IF(LOWER(Basis)="ibnp",'paid claim lag dump'!W15,'reported claim lag dump'!W15)</f>
        <v>0</v>
      </c>
      <c r="X15" s="209">
        <f>IF(LOWER(Basis)="ibnp",'paid claim lag dump'!X15,'reported claim lag dump'!X15)</f>
        <v>0</v>
      </c>
      <c r="Y15" s="209">
        <f>IF(LOWER(Basis)="ibnp",'paid claim lag dump'!Y15,'reported claim lag dump'!Y15)</f>
        <v>0</v>
      </c>
      <c r="Z15" s="209">
        <f>IF(LOWER(Basis)="ibnp",'paid claim lag dump'!Z15,'reported claim lag dump'!Z15)</f>
        <v>0</v>
      </c>
      <c r="AA15" s="209">
        <f>IF(LOWER(Basis)="ibnp",'paid claim lag dump'!AA15,'reported claim lag dump'!AA15)</f>
        <v>0</v>
      </c>
      <c r="AB15" s="209">
        <f>IF(LOWER(Basis)="ibnp",'paid claim lag dump'!AB15,'reported claim lag dump'!AB15)</f>
        <v>0</v>
      </c>
      <c r="AC15" s="209">
        <f>IF(LOWER(Basis)="ibnp",'paid claim lag dump'!AC15,'reported claim lag dump'!AC15)</f>
        <v>0</v>
      </c>
      <c r="AD15" s="209">
        <f>IF(LOWER(Basis)="ibnp",'paid claim lag dump'!AD15,'reported claim lag dump'!AD15)</f>
        <v>0</v>
      </c>
      <c r="AE15" s="209">
        <f>IF(LOWER(Basis)="ibnp",'paid claim lag dump'!AE15,'reported claim lag dump'!AE15)</f>
        <v>0</v>
      </c>
      <c r="AF15" s="209">
        <f>IF(LOWER(Basis)="ibnp",'paid claim lag dump'!AF15,'reported claim lag dump'!AF15)</f>
        <v>0</v>
      </c>
      <c r="AG15" s="209">
        <f>IF(LOWER(Basis)="ibnp",'paid claim lag dump'!AG15,'reported claim lag dump'!AG15)</f>
        <v>0</v>
      </c>
      <c r="AH15" s="209">
        <f>IF(LOWER(Basis)="ibnp",'paid claim lag dump'!AH15,'reported claim lag dump'!AH15)</f>
        <v>0</v>
      </c>
      <c r="AI15" s="209">
        <f>IF(LOWER(Basis)="ibnp",'paid claim lag dump'!AI15,'reported claim lag dump'!AI15)</f>
        <v>0</v>
      </c>
      <c r="AJ15" s="209">
        <f>IF(LOWER(Basis)="ibnp",'paid claim lag dump'!AJ15,'reported claim lag dump'!AJ15)</f>
        <v>0</v>
      </c>
      <c r="AK15" s="209">
        <f>IF(LOWER(Basis)="ibnp",'paid claim lag dump'!AK15,'reported claim lag dump'!AK15)</f>
        <v>0</v>
      </c>
      <c r="AL15" s="209">
        <f>IF(LOWER(Basis)="ibnp",'paid claim lag dump'!AL15,'reported claim lag dump'!AL15)</f>
        <v>0</v>
      </c>
      <c r="AM15" s="207"/>
    </row>
    <row r="16" spans="1:39" ht="12.75">
      <c r="A16" s="204"/>
      <c r="B16" s="208">
        <f>'general dump'!B16</f>
        <v>36404</v>
      </c>
      <c r="C16" s="209">
        <f>IF(LOWER(Basis)="ibnp",'paid claim lag dump'!C16,'reported claim lag dump'!C16)</f>
        <v>22133</v>
      </c>
      <c r="D16" s="209">
        <f>IF(LOWER(Basis)="ibnp",'paid claim lag dump'!D16,'reported claim lag dump'!D16)</f>
        <v>43202</v>
      </c>
      <c r="E16" s="209">
        <f>IF(LOWER(Basis)="ibnp",'paid claim lag dump'!E16,'reported claim lag dump'!E16)</f>
        <v>19233</v>
      </c>
      <c r="F16" s="209">
        <f>IF(LOWER(Basis)="ibnp",'paid claim lag dump'!F16,'reported claim lag dump'!F16)</f>
        <v>23721</v>
      </c>
      <c r="G16" s="209">
        <f>IF(LOWER(Basis)="ibnp",'paid claim lag dump'!G16,'reported claim lag dump'!G16)</f>
        <v>1187</v>
      </c>
      <c r="H16" s="209">
        <f>IF(LOWER(Basis)="ibnp",'paid claim lag dump'!H16,'reported claim lag dump'!H16)</f>
        <v>-269</v>
      </c>
      <c r="I16" s="209">
        <f>IF(LOWER(Basis)="ibnp",'paid claim lag dump'!I16,'reported claim lag dump'!I16)</f>
        <v>856</v>
      </c>
      <c r="J16" s="209">
        <f>IF(LOWER(Basis)="ibnp",'paid claim lag dump'!J16,'reported claim lag dump'!J16)</f>
        <v>553</v>
      </c>
      <c r="K16" s="209">
        <f>IF(LOWER(Basis)="ibnp",'paid claim lag dump'!K16,'reported claim lag dump'!K16)</f>
        <v>20</v>
      </c>
      <c r="L16" s="209">
        <f>IF(LOWER(Basis)="ibnp",'paid claim lag dump'!L16,'reported claim lag dump'!L16)</f>
        <v>-300</v>
      </c>
      <c r="M16" s="209">
        <f>IF(LOWER(Basis)="ibnp",'paid claim lag dump'!M16,'reported claim lag dump'!M16)</f>
        <v>374</v>
      </c>
      <c r="N16" s="209">
        <f>IF(LOWER(Basis)="ibnp",'paid claim lag dump'!N16,'reported claim lag dump'!N16)</f>
        <v>80</v>
      </c>
      <c r="O16" s="209">
        <f>IF(LOWER(Basis)="ibnp",'paid claim lag dump'!O16,'reported claim lag dump'!O16)</f>
        <v>286</v>
      </c>
      <c r="P16" s="209">
        <f>IF(LOWER(Basis)="ibnp",'paid claim lag dump'!P16,'reported claim lag dump'!P16)</f>
        <v>0</v>
      </c>
      <c r="Q16" s="209">
        <f>IF(LOWER(Basis)="ibnp",'paid claim lag dump'!Q16,'reported claim lag dump'!Q16)</f>
        <v>0</v>
      </c>
      <c r="R16" s="209">
        <f>IF(LOWER(Basis)="ibnp",'paid claim lag dump'!R16,'reported claim lag dump'!R16)</f>
        <v>0</v>
      </c>
      <c r="S16" s="209">
        <f>IF(LOWER(Basis)="ibnp",'paid claim lag dump'!S16,'reported claim lag dump'!S16)</f>
        <v>0</v>
      </c>
      <c r="T16" s="209">
        <f>IF(LOWER(Basis)="ibnp",'paid claim lag dump'!T16,'reported claim lag dump'!T16)</f>
        <v>0</v>
      </c>
      <c r="U16" s="209">
        <f>IF(LOWER(Basis)="ibnp",'paid claim lag dump'!U16,'reported claim lag dump'!U16)</f>
        <v>0</v>
      </c>
      <c r="V16" s="209">
        <f>IF(LOWER(Basis)="ibnp",'paid claim lag dump'!V16,'reported claim lag dump'!V16)</f>
        <v>0</v>
      </c>
      <c r="W16" s="209">
        <f>IF(LOWER(Basis)="ibnp",'paid claim lag dump'!W16,'reported claim lag dump'!W16)</f>
        <v>0</v>
      </c>
      <c r="X16" s="209">
        <f>IF(LOWER(Basis)="ibnp",'paid claim lag dump'!X16,'reported claim lag dump'!X16)</f>
        <v>0</v>
      </c>
      <c r="Y16" s="209">
        <f>IF(LOWER(Basis)="ibnp",'paid claim lag dump'!Y16,'reported claim lag dump'!Y16)</f>
        <v>0</v>
      </c>
      <c r="Z16" s="209">
        <f>IF(LOWER(Basis)="ibnp",'paid claim lag dump'!Z16,'reported claim lag dump'!Z16)</f>
        <v>0</v>
      </c>
      <c r="AA16" s="209">
        <f>IF(LOWER(Basis)="ibnp",'paid claim lag dump'!AA16,'reported claim lag dump'!AA16)</f>
        <v>0</v>
      </c>
      <c r="AB16" s="209">
        <f>IF(LOWER(Basis)="ibnp",'paid claim lag dump'!AB16,'reported claim lag dump'!AB16)</f>
        <v>0</v>
      </c>
      <c r="AC16" s="209">
        <f>IF(LOWER(Basis)="ibnp",'paid claim lag dump'!AC16,'reported claim lag dump'!AC16)</f>
        <v>0</v>
      </c>
      <c r="AD16" s="209">
        <f>IF(LOWER(Basis)="ibnp",'paid claim lag dump'!AD16,'reported claim lag dump'!AD16)</f>
        <v>0</v>
      </c>
      <c r="AE16" s="209">
        <f>IF(LOWER(Basis)="ibnp",'paid claim lag dump'!AE16,'reported claim lag dump'!AE16)</f>
        <v>0</v>
      </c>
      <c r="AF16" s="209">
        <f>IF(LOWER(Basis)="ibnp",'paid claim lag dump'!AF16,'reported claim lag dump'!AF16)</f>
        <v>0</v>
      </c>
      <c r="AG16" s="209">
        <f>IF(LOWER(Basis)="ibnp",'paid claim lag dump'!AG16,'reported claim lag dump'!AG16)</f>
        <v>0</v>
      </c>
      <c r="AH16" s="209">
        <f>IF(LOWER(Basis)="ibnp",'paid claim lag dump'!AH16,'reported claim lag dump'!AH16)</f>
        <v>0</v>
      </c>
      <c r="AI16" s="209">
        <f>IF(LOWER(Basis)="ibnp",'paid claim lag dump'!AI16,'reported claim lag dump'!AI16)</f>
        <v>0</v>
      </c>
      <c r="AJ16" s="209">
        <f>IF(LOWER(Basis)="ibnp",'paid claim lag dump'!AJ16,'reported claim lag dump'!AJ16)</f>
        <v>0</v>
      </c>
      <c r="AK16" s="209">
        <f>IF(LOWER(Basis)="ibnp",'paid claim lag dump'!AK16,'reported claim lag dump'!AK16)</f>
        <v>0</v>
      </c>
      <c r="AL16" s="209">
        <f>IF(LOWER(Basis)="ibnp",'paid claim lag dump'!AL16,'reported claim lag dump'!AL16)</f>
        <v>0</v>
      </c>
      <c r="AM16" s="207"/>
    </row>
    <row r="17" spans="1:39" ht="12.75">
      <c r="A17" s="204"/>
      <c r="B17" s="208">
        <f>'general dump'!B17</f>
        <v>36434</v>
      </c>
      <c r="C17" s="209">
        <f>IF(LOWER(Basis)="ibnp",'paid claim lag dump'!C17,'reported claim lag dump'!C17)</f>
        <v>8887</v>
      </c>
      <c r="D17" s="209">
        <f>IF(LOWER(Basis)="ibnp",'paid claim lag dump'!D17,'reported claim lag dump'!D17)</f>
        <v>57900</v>
      </c>
      <c r="E17" s="209">
        <f>IF(LOWER(Basis)="ibnp",'paid claim lag dump'!E17,'reported claim lag dump'!E17)</f>
        <v>69592</v>
      </c>
      <c r="F17" s="209">
        <f>IF(LOWER(Basis)="ibnp",'paid claim lag dump'!F17,'reported claim lag dump'!F17)</f>
        <v>13073</v>
      </c>
      <c r="G17" s="209">
        <f>IF(LOWER(Basis)="ibnp",'paid claim lag dump'!G17,'reported claim lag dump'!G17)</f>
        <v>3966</v>
      </c>
      <c r="H17" s="209">
        <f>IF(LOWER(Basis)="ibnp",'paid claim lag dump'!H17,'reported claim lag dump'!H17)</f>
        <v>7382</v>
      </c>
      <c r="I17" s="209">
        <f>IF(LOWER(Basis)="ibnp",'paid claim lag dump'!I17,'reported claim lag dump'!I17)</f>
        <v>990</v>
      </c>
      <c r="J17" s="209">
        <f>IF(LOWER(Basis)="ibnp",'paid claim lag dump'!J17,'reported claim lag dump'!J17)</f>
        <v>1455</v>
      </c>
      <c r="K17" s="209">
        <f>IF(LOWER(Basis)="ibnp",'paid claim lag dump'!K17,'reported claim lag dump'!K17)</f>
        <v>1212</v>
      </c>
      <c r="L17" s="209">
        <f>IF(LOWER(Basis)="ibnp",'paid claim lag dump'!L17,'reported claim lag dump'!L17)</f>
        <v>252</v>
      </c>
      <c r="M17" s="209">
        <f>IF(LOWER(Basis)="ibnp",'paid claim lag dump'!M17,'reported claim lag dump'!M17)</f>
        <v>-208</v>
      </c>
      <c r="N17" s="209">
        <f>IF(LOWER(Basis)="ibnp",'paid claim lag dump'!N17,'reported claim lag dump'!N17)</f>
        <v>4466</v>
      </c>
      <c r="O17" s="209">
        <f>IF(LOWER(Basis)="ibnp",'paid claim lag dump'!O17,'reported claim lag dump'!O17)</f>
        <v>924</v>
      </c>
      <c r="P17" s="209">
        <f>IF(LOWER(Basis)="ibnp",'paid claim lag dump'!P17,'reported claim lag dump'!P17)</f>
        <v>85</v>
      </c>
      <c r="Q17" s="209">
        <f>IF(LOWER(Basis)="ibnp",'paid claim lag dump'!Q17,'reported claim lag dump'!Q17)</f>
        <v>1460</v>
      </c>
      <c r="R17" s="209">
        <f>IF(LOWER(Basis)="ibnp",'paid claim lag dump'!R17,'reported claim lag dump'!R17)</f>
        <v>0</v>
      </c>
      <c r="S17" s="209">
        <f>IF(LOWER(Basis)="ibnp",'paid claim lag dump'!S17,'reported claim lag dump'!S17)</f>
        <v>0</v>
      </c>
      <c r="T17" s="209">
        <f>IF(LOWER(Basis)="ibnp",'paid claim lag dump'!T17,'reported claim lag dump'!T17)</f>
        <v>0</v>
      </c>
      <c r="U17" s="209">
        <f>IF(LOWER(Basis)="ibnp",'paid claim lag dump'!U17,'reported claim lag dump'!U17)</f>
        <v>0</v>
      </c>
      <c r="V17" s="209">
        <f>IF(LOWER(Basis)="ibnp",'paid claim lag dump'!V17,'reported claim lag dump'!V17)</f>
        <v>0</v>
      </c>
      <c r="W17" s="209">
        <f>IF(LOWER(Basis)="ibnp",'paid claim lag dump'!W17,'reported claim lag dump'!W17)</f>
        <v>0</v>
      </c>
      <c r="X17" s="209">
        <f>IF(LOWER(Basis)="ibnp",'paid claim lag dump'!X17,'reported claim lag dump'!X17)</f>
        <v>0</v>
      </c>
      <c r="Y17" s="209">
        <f>IF(LOWER(Basis)="ibnp",'paid claim lag dump'!Y17,'reported claim lag dump'!Y17)</f>
        <v>0</v>
      </c>
      <c r="Z17" s="209">
        <f>IF(LOWER(Basis)="ibnp",'paid claim lag dump'!Z17,'reported claim lag dump'!Z17)</f>
        <v>0</v>
      </c>
      <c r="AA17" s="209">
        <f>IF(LOWER(Basis)="ibnp",'paid claim lag dump'!AA17,'reported claim lag dump'!AA17)</f>
        <v>0</v>
      </c>
      <c r="AB17" s="209">
        <f>IF(LOWER(Basis)="ibnp",'paid claim lag dump'!AB17,'reported claim lag dump'!AB17)</f>
        <v>0</v>
      </c>
      <c r="AC17" s="209">
        <f>IF(LOWER(Basis)="ibnp",'paid claim lag dump'!AC17,'reported claim lag dump'!AC17)</f>
        <v>0</v>
      </c>
      <c r="AD17" s="209">
        <f>IF(LOWER(Basis)="ibnp",'paid claim lag dump'!AD17,'reported claim lag dump'!AD17)</f>
        <v>0</v>
      </c>
      <c r="AE17" s="209">
        <f>IF(LOWER(Basis)="ibnp",'paid claim lag dump'!AE17,'reported claim lag dump'!AE17)</f>
        <v>0</v>
      </c>
      <c r="AF17" s="209">
        <f>IF(LOWER(Basis)="ibnp",'paid claim lag dump'!AF17,'reported claim lag dump'!AF17)</f>
        <v>0</v>
      </c>
      <c r="AG17" s="209">
        <f>IF(LOWER(Basis)="ibnp",'paid claim lag dump'!AG17,'reported claim lag dump'!AG17)</f>
        <v>0</v>
      </c>
      <c r="AH17" s="209">
        <f>IF(LOWER(Basis)="ibnp",'paid claim lag dump'!AH17,'reported claim lag dump'!AH17)</f>
        <v>0</v>
      </c>
      <c r="AI17" s="209">
        <f>IF(LOWER(Basis)="ibnp",'paid claim lag dump'!AI17,'reported claim lag dump'!AI17)</f>
        <v>0</v>
      </c>
      <c r="AJ17" s="209">
        <f>IF(LOWER(Basis)="ibnp",'paid claim lag dump'!AJ17,'reported claim lag dump'!AJ17)</f>
        <v>0</v>
      </c>
      <c r="AK17" s="209">
        <f>IF(LOWER(Basis)="ibnp",'paid claim lag dump'!AK17,'reported claim lag dump'!AK17)</f>
        <v>0</v>
      </c>
      <c r="AL17" s="209">
        <f>IF(LOWER(Basis)="ibnp",'paid claim lag dump'!AL17,'reported claim lag dump'!AL17)</f>
        <v>0</v>
      </c>
      <c r="AM17" s="207"/>
    </row>
    <row r="18" spans="1:39" ht="12.75">
      <c r="A18" s="204"/>
      <c r="B18" s="208">
        <f>'general dump'!B18</f>
        <v>36465</v>
      </c>
      <c r="C18" s="209">
        <f>IF(LOWER(Basis)="ibnp",'paid claim lag dump'!C18,'reported claim lag dump'!C18)</f>
        <v>31566</v>
      </c>
      <c r="D18" s="209">
        <f>IF(LOWER(Basis)="ibnp",'paid claim lag dump'!D18,'reported claim lag dump'!D18)</f>
        <v>83114</v>
      </c>
      <c r="E18" s="209">
        <f>IF(LOWER(Basis)="ibnp",'paid claim lag dump'!E18,'reported claim lag dump'!E18)</f>
        <v>23227</v>
      </c>
      <c r="F18" s="209">
        <f>IF(LOWER(Basis)="ibnp",'paid claim lag dump'!F18,'reported claim lag dump'!F18)</f>
        <v>13635</v>
      </c>
      <c r="G18" s="209">
        <f>IF(LOWER(Basis)="ibnp",'paid claim lag dump'!G18,'reported claim lag dump'!G18)</f>
        <v>5991</v>
      </c>
      <c r="H18" s="209">
        <f>IF(LOWER(Basis)="ibnp",'paid claim lag dump'!H18,'reported claim lag dump'!H18)</f>
        <v>3977</v>
      </c>
      <c r="I18" s="209">
        <f>IF(LOWER(Basis)="ibnp",'paid claim lag dump'!I18,'reported claim lag dump'!I18)</f>
        <v>323</v>
      </c>
      <c r="J18" s="209">
        <f>IF(LOWER(Basis)="ibnp",'paid claim lag dump'!J18,'reported claim lag dump'!J18)</f>
        <v>1412</v>
      </c>
      <c r="K18" s="209">
        <f>IF(LOWER(Basis)="ibnp",'paid claim lag dump'!K18,'reported claim lag dump'!K18)</f>
        <v>1242</v>
      </c>
      <c r="L18" s="209">
        <f>IF(LOWER(Basis)="ibnp",'paid claim lag dump'!L18,'reported claim lag dump'!L18)</f>
        <v>450</v>
      </c>
      <c r="M18" s="209">
        <f>IF(LOWER(Basis)="ibnp",'paid claim lag dump'!M18,'reported claim lag dump'!M18)</f>
        <v>-376</v>
      </c>
      <c r="N18" s="209">
        <f>IF(LOWER(Basis)="ibnp",'paid claim lag dump'!N18,'reported claim lag dump'!N18)</f>
        <v>4430</v>
      </c>
      <c r="O18" s="209">
        <f>IF(LOWER(Basis)="ibnp",'paid claim lag dump'!O18,'reported claim lag dump'!O18)</f>
        <v>900</v>
      </c>
      <c r="P18" s="209">
        <f>IF(LOWER(Basis)="ibnp",'paid claim lag dump'!P18,'reported claim lag dump'!P18)</f>
        <v>85</v>
      </c>
      <c r="Q18" s="209">
        <f>IF(LOWER(Basis)="ibnp",'paid claim lag dump'!Q18,'reported claim lag dump'!Q18)</f>
        <v>1460</v>
      </c>
      <c r="R18" s="209">
        <f>IF(LOWER(Basis)="ibnp",'paid claim lag dump'!R18,'reported claim lag dump'!R18)</f>
        <v>0</v>
      </c>
      <c r="S18" s="209">
        <f>IF(LOWER(Basis)="ibnp",'paid claim lag dump'!S18,'reported claim lag dump'!S18)</f>
        <v>0</v>
      </c>
      <c r="T18" s="209">
        <f>IF(LOWER(Basis)="ibnp",'paid claim lag dump'!T18,'reported claim lag dump'!T18)</f>
        <v>0</v>
      </c>
      <c r="U18" s="209">
        <f>IF(LOWER(Basis)="ibnp",'paid claim lag dump'!U18,'reported claim lag dump'!U18)</f>
        <v>0</v>
      </c>
      <c r="V18" s="209">
        <f>IF(LOWER(Basis)="ibnp",'paid claim lag dump'!V18,'reported claim lag dump'!V18)</f>
        <v>0</v>
      </c>
      <c r="W18" s="209">
        <f>IF(LOWER(Basis)="ibnp",'paid claim lag dump'!W18,'reported claim lag dump'!W18)</f>
        <v>0</v>
      </c>
      <c r="X18" s="209">
        <f>IF(LOWER(Basis)="ibnp",'paid claim lag dump'!X18,'reported claim lag dump'!X18)</f>
        <v>0</v>
      </c>
      <c r="Y18" s="209">
        <f>IF(LOWER(Basis)="ibnp",'paid claim lag dump'!Y18,'reported claim lag dump'!Y18)</f>
        <v>0</v>
      </c>
      <c r="Z18" s="209">
        <f>IF(LOWER(Basis)="ibnp",'paid claim lag dump'!Z18,'reported claim lag dump'!Z18)</f>
        <v>0</v>
      </c>
      <c r="AA18" s="209">
        <f>IF(LOWER(Basis)="ibnp",'paid claim lag dump'!AA18,'reported claim lag dump'!AA18)</f>
        <v>0</v>
      </c>
      <c r="AB18" s="209">
        <f>IF(LOWER(Basis)="ibnp",'paid claim lag dump'!AB18,'reported claim lag dump'!AB18)</f>
        <v>0</v>
      </c>
      <c r="AC18" s="209">
        <f>IF(LOWER(Basis)="ibnp",'paid claim lag dump'!AC18,'reported claim lag dump'!AC18)</f>
        <v>0</v>
      </c>
      <c r="AD18" s="209">
        <f>IF(LOWER(Basis)="ibnp",'paid claim lag dump'!AD18,'reported claim lag dump'!AD18)</f>
        <v>0</v>
      </c>
      <c r="AE18" s="209">
        <f>IF(LOWER(Basis)="ibnp",'paid claim lag dump'!AE18,'reported claim lag dump'!AE18)</f>
        <v>0</v>
      </c>
      <c r="AF18" s="209">
        <f>IF(LOWER(Basis)="ibnp",'paid claim lag dump'!AF18,'reported claim lag dump'!AF18)</f>
        <v>0</v>
      </c>
      <c r="AG18" s="209">
        <f>IF(LOWER(Basis)="ibnp",'paid claim lag dump'!AG18,'reported claim lag dump'!AG18)</f>
        <v>0</v>
      </c>
      <c r="AH18" s="209">
        <f>IF(LOWER(Basis)="ibnp",'paid claim lag dump'!AH18,'reported claim lag dump'!AH18)</f>
        <v>0</v>
      </c>
      <c r="AI18" s="209">
        <f>IF(LOWER(Basis)="ibnp",'paid claim lag dump'!AI18,'reported claim lag dump'!AI18)</f>
        <v>0</v>
      </c>
      <c r="AJ18" s="209">
        <f>IF(LOWER(Basis)="ibnp",'paid claim lag dump'!AJ18,'reported claim lag dump'!AJ18)</f>
        <v>0</v>
      </c>
      <c r="AK18" s="209">
        <f>IF(LOWER(Basis)="ibnp",'paid claim lag dump'!AK18,'reported claim lag dump'!AK18)</f>
        <v>0</v>
      </c>
      <c r="AL18" s="209">
        <f>IF(LOWER(Basis)="ibnp",'paid claim lag dump'!AL18,'reported claim lag dump'!AL18)</f>
        <v>0</v>
      </c>
      <c r="AM18" s="207"/>
    </row>
    <row r="19" spans="1:39" ht="12.75">
      <c r="A19" s="204"/>
      <c r="B19" s="208">
        <f>'general dump'!B19</f>
        <v>36495</v>
      </c>
      <c r="C19" s="209">
        <f>IF(LOWER(Basis)="ibnp",'paid claim lag dump'!C19,'reported claim lag dump'!C19)</f>
        <v>1321</v>
      </c>
      <c r="D19" s="209">
        <f>IF(LOWER(Basis)="ibnp",'paid claim lag dump'!D19,'reported claim lag dump'!D19)</f>
        <v>33300</v>
      </c>
      <c r="E19" s="209">
        <f>IF(LOWER(Basis)="ibnp",'paid claim lag dump'!E19,'reported claim lag dump'!E19)</f>
        <v>30097</v>
      </c>
      <c r="F19" s="209">
        <f>IF(LOWER(Basis)="ibnp",'paid claim lag dump'!F19,'reported claim lag dump'!F19)</f>
        <v>27921</v>
      </c>
      <c r="G19" s="209">
        <f>IF(LOWER(Basis)="ibnp",'paid claim lag dump'!G19,'reported claim lag dump'!G19)</f>
        <v>5276</v>
      </c>
      <c r="H19" s="209">
        <f>IF(LOWER(Basis)="ibnp",'paid claim lag dump'!H19,'reported claim lag dump'!H19)</f>
        <v>1752</v>
      </c>
      <c r="I19" s="209">
        <f>IF(LOWER(Basis)="ibnp",'paid claim lag dump'!I19,'reported claim lag dump'!I19)</f>
        <v>9245</v>
      </c>
      <c r="J19" s="209">
        <f>IF(LOWER(Basis)="ibnp",'paid claim lag dump'!J19,'reported claim lag dump'!J19)</f>
        <v>117</v>
      </c>
      <c r="K19" s="209">
        <f>IF(LOWER(Basis)="ibnp",'paid claim lag dump'!K19,'reported claim lag dump'!K19)</f>
        <v>216</v>
      </c>
      <c r="L19" s="209">
        <f>IF(LOWER(Basis)="ibnp",'paid claim lag dump'!L19,'reported claim lag dump'!L19)</f>
        <v>314</v>
      </c>
      <c r="M19" s="209">
        <f>IF(LOWER(Basis)="ibnp",'paid claim lag dump'!M19,'reported claim lag dump'!M19)</f>
        <v>204</v>
      </c>
      <c r="N19" s="209">
        <f>IF(LOWER(Basis)="ibnp",'paid claim lag dump'!N19,'reported claim lag dump'!N19)</f>
        <v>442</v>
      </c>
      <c r="O19" s="209">
        <f>IF(LOWER(Basis)="ibnp",'paid claim lag dump'!O19,'reported claim lag dump'!O19)</f>
        <v>561</v>
      </c>
      <c r="P19" s="209">
        <f>IF(LOWER(Basis)="ibnp",'paid claim lag dump'!P19,'reported claim lag dump'!P19)</f>
        <v>179</v>
      </c>
      <c r="Q19" s="209">
        <f>IF(LOWER(Basis)="ibnp",'paid claim lag dump'!Q19,'reported claim lag dump'!Q19)</f>
        <v>17</v>
      </c>
      <c r="R19" s="209">
        <f>IF(LOWER(Basis)="ibnp",'paid claim lag dump'!R19,'reported claim lag dump'!R19)</f>
        <v>273</v>
      </c>
      <c r="S19" s="209">
        <f>IF(LOWER(Basis)="ibnp",'paid claim lag dump'!S19,'reported claim lag dump'!S19)</f>
        <v>135</v>
      </c>
      <c r="T19" s="209">
        <f>IF(LOWER(Basis)="ibnp",'paid claim lag dump'!T19,'reported claim lag dump'!T19)</f>
        <v>168</v>
      </c>
      <c r="U19" s="209">
        <f>IF(LOWER(Basis)="ibnp",'paid claim lag dump'!U19,'reported claim lag dump'!U19)</f>
        <v>0</v>
      </c>
      <c r="V19" s="209">
        <f>IF(LOWER(Basis)="ibnp",'paid claim lag dump'!V19,'reported claim lag dump'!V19)</f>
        <v>0</v>
      </c>
      <c r="W19" s="209">
        <f>IF(LOWER(Basis)="ibnp",'paid claim lag dump'!W19,'reported claim lag dump'!W19)</f>
        <v>0</v>
      </c>
      <c r="X19" s="209">
        <f>IF(LOWER(Basis)="ibnp",'paid claim lag dump'!X19,'reported claim lag dump'!X19)</f>
        <v>0</v>
      </c>
      <c r="Y19" s="209">
        <f>IF(LOWER(Basis)="ibnp",'paid claim lag dump'!Y19,'reported claim lag dump'!Y19)</f>
        <v>0</v>
      </c>
      <c r="Z19" s="209">
        <f>IF(LOWER(Basis)="ibnp",'paid claim lag dump'!Z19,'reported claim lag dump'!Z19)</f>
        <v>0</v>
      </c>
      <c r="AA19" s="209">
        <f>IF(LOWER(Basis)="ibnp",'paid claim lag dump'!AA19,'reported claim lag dump'!AA19)</f>
        <v>0</v>
      </c>
      <c r="AB19" s="209">
        <f>IF(LOWER(Basis)="ibnp",'paid claim lag dump'!AB19,'reported claim lag dump'!AB19)</f>
        <v>0</v>
      </c>
      <c r="AC19" s="209">
        <f>IF(LOWER(Basis)="ibnp",'paid claim lag dump'!AC19,'reported claim lag dump'!AC19)</f>
        <v>0</v>
      </c>
      <c r="AD19" s="209">
        <f>IF(LOWER(Basis)="ibnp",'paid claim lag dump'!AD19,'reported claim lag dump'!AD19)</f>
        <v>0</v>
      </c>
      <c r="AE19" s="209">
        <f>IF(LOWER(Basis)="ibnp",'paid claim lag dump'!AE19,'reported claim lag dump'!AE19)</f>
        <v>0</v>
      </c>
      <c r="AF19" s="209">
        <f>IF(LOWER(Basis)="ibnp",'paid claim lag dump'!AF19,'reported claim lag dump'!AF19)</f>
        <v>0</v>
      </c>
      <c r="AG19" s="209">
        <f>IF(LOWER(Basis)="ibnp",'paid claim lag dump'!AG19,'reported claim lag dump'!AG19)</f>
        <v>0</v>
      </c>
      <c r="AH19" s="209">
        <f>IF(LOWER(Basis)="ibnp",'paid claim lag dump'!AH19,'reported claim lag dump'!AH19)</f>
        <v>0</v>
      </c>
      <c r="AI19" s="209">
        <f>IF(LOWER(Basis)="ibnp",'paid claim lag dump'!AI19,'reported claim lag dump'!AI19)</f>
        <v>0</v>
      </c>
      <c r="AJ19" s="209">
        <f>IF(LOWER(Basis)="ibnp",'paid claim lag dump'!AJ19,'reported claim lag dump'!AJ19)</f>
        <v>0</v>
      </c>
      <c r="AK19" s="209">
        <f>IF(LOWER(Basis)="ibnp",'paid claim lag dump'!AK19,'reported claim lag dump'!AK19)</f>
        <v>0</v>
      </c>
      <c r="AL19" s="209">
        <f>IF(LOWER(Basis)="ibnp",'paid claim lag dump'!AL19,'reported claim lag dump'!AL19)</f>
        <v>0</v>
      </c>
      <c r="AM19" s="207"/>
    </row>
    <row r="20" spans="1:39" ht="12.75">
      <c r="A20" s="204"/>
      <c r="B20" s="208">
        <f>'general dump'!B20</f>
        <v>36526</v>
      </c>
      <c r="C20" s="209">
        <f>IF(LOWER(Basis)="ibnp",'paid claim lag dump'!C20,'reported claim lag dump'!C20)</f>
        <v>14982</v>
      </c>
      <c r="D20" s="209">
        <f>IF(LOWER(Basis)="ibnp",'paid claim lag dump'!D20,'reported claim lag dump'!D20)</f>
        <v>44836</v>
      </c>
      <c r="E20" s="209">
        <f>IF(LOWER(Basis)="ibnp",'paid claim lag dump'!E20,'reported claim lag dump'!E20)</f>
        <v>31946</v>
      </c>
      <c r="F20" s="209">
        <f>IF(LOWER(Basis)="ibnp",'paid claim lag dump'!F20,'reported claim lag dump'!F20)</f>
        <v>3681</v>
      </c>
      <c r="G20" s="209">
        <f>IF(LOWER(Basis)="ibnp",'paid claim lag dump'!G20,'reported claim lag dump'!G20)</f>
        <v>2985</v>
      </c>
      <c r="H20" s="209">
        <f>IF(LOWER(Basis)="ibnp",'paid claim lag dump'!H20,'reported claim lag dump'!H20)</f>
        <v>1328</v>
      </c>
      <c r="I20" s="209">
        <f>IF(LOWER(Basis)="ibnp",'paid claim lag dump'!I20,'reported claim lag dump'!I20)</f>
        <v>9314</v>
      </c>
      <c r="J20" s="209">
        <f>IF(LOWER(Basis)="ibnp",'paid claim lag dump'!J20,'reported claim lag dump'!J20)</f>
        <v>117</v>
      </c>
      <c r="K20" s="209">
        <f>IF(LOWER(Basis)="ibnp",'paid claim lag dump'!K20,'reported claim lag dump'!K20)</f>
        <v>56</v>
      </c>
      <c r="L20" s="209">
        <f>IF(LOWER(Basis)="ibnp",'paid claim lag dump'!L20,'reported claim lag dump'!L20)</f>
        <v>430</v>
      </c>
      <c r="M20" s="209">
        <f>IF(LOWER(Basis)="ibnp",'paid claim lag dump'!M20,'reported claim lag dump'!M20)</f>
        <v>88</v>
      </c>
      <c r="N20" s="209">
        <f>IF(LOWER(Basis)="ibnp",'paid claim lag dump'!N20,'reported claim lag dump'!N20)</f>
        <v>538</v>
      </c>
      <c r="O20" s="209">
        <f>IF(LOWER(Basis)="ibnp",'paid claim lag dump'!O20,'reported claim lag dump'!O20)</f>
        <v>508</v>
      </c>
      <c r="P20" s="209">
        <f>IF(LOWER(Basis)="ibnp",'paid claim lag dump'!P20,'reported claim lag dump'!P20)</f>
        <v>153</v>
      </c>
      <c r="Q20" s="209">
        <f>IF(LOWER(Basis)="ibnp",'paid claim lag dump'!Q20,'reported claim lag dump'!Q20)</f>
        <v>0</v>
      </c>
      <c r="R20" s="209">
        <f>IF(LOWER(Basis)="ibnp",'paid claim lag dump'!R20,'reported claim lag dump'!R20)</f>
        <v>273</v>
      </c>
      <c r="S20" s="209">
        <f>IF(LOWER(Basis)="ibnp",'paid claim lag dump'!S20,'reported claim lag dump'!S20)</f>
        <v>303</v>
      </c>
      <c r="T20" s="209">
        <f>IF(LOWER(Basis)="ibnp",'paid claim lag dump'!T20,'reported claim lag dump'!T20)</f>
        <v>0</v>
      </c>
      <c r="U20" s="209">
        <f>IF(LOWER(Basis)="ibnp",'paid claim lag dump'!U20,'reported claim lag dump'!U20)</f>
        <v>0</v>
      </c>
      <c r="V20" s="209">
        <f>IF(LOWER(Basis)="ibnp",'paid claim lag dump'!V20,'reported claim lag dump'!V20)</f>
        <v>0</v>
      </c>
      <c r="W20" s="209">
        <f>IF(LOWER(Basis)="ibnp",'paid claim lag dump'!W20,'reported claim lag dump'!W20)</f>
        <v>0</v>
      </c>
      <c r="X20" s="209">
        <f>IF(LOWER(Basis)="ibnp",'paid claim lag dump'!X20,'reported claim lag dump'!X20)</f>
        <v>0</v>
      </c>
      <c r="Y20" s="209">
        <f>IF(LOWER(Basis)="ibnp",'paid claim lag dump'!Y20,'reported claim lag dump'!Y20)</f>
        <v>0</v>
      </c>
      <c r="Z20" s="209">
        <f>IF(LOWER(Basis)="ibnp",'paid claim lag dump'!Z20,'reported claim lag dump'!Z20)</f>
        <v>0</v>
      </c>
      <c r="AA20" s="209">
        <f>IF(LOWER(Basis)="ibnp",'paid claim lag dump'!AA20,'reported claim lag dump'!AA20)</f>
        <v>0</v>
      </c>
      <c r="AB20" s="209">
        <f>IF(LOWER(Basis)="ibnp",'paid claim lag dump'!AB20,'reported claim lag dump'!AB20)</f>
        <v>0</v>
      </c>
      <c r="AC20" s="209">
        <f>IF(LOWER(Basis)="ibnp",'paid claim lag dump'!AC20,'reported claim lag dump'!AC20)</f>
        <v>0</v>
      </c>
      <c r="AD20" s="209">
        <f>IF(LOWER(Basis)="ibnp",'paid claim lag dump'!AD20,'reported claim lag dump'!AD20)</f>
        <v>0</v>
      </c>
      <c r="AE20" s="209">
        <f>IF(LOWER(Basis)="ibnp",'paid claim lag dump'!AE20,'reported claim lag dump'!AE20)</f>
        <v>0</v>
      </c>
      <c r="AF20" s="209">
        <f>IF(LOWER(Basis)="ibnp",'paid claim lag dump'!AF20,'reported claim lag dump'!AF20)</f>
        <v>0</v>
      </c>
      <c r="AG20" s="209">
        <f>IF(LOWER(Basis)="ibnp",'paid claim lag dump'!AG20,'reported claim lag dump'!AG20)</f>
        <v>0</v>
      </c>
      <c r="AH20" s="209">
        <f>IF(LOWER(Basis)="ibnp",'paid claim lag dump'!AH20,'reported claim lag dump'!AH20)</f>
        <v>0</v>
      </c>
      <c r="AI20" s="209">
        <f>IF(LOWER(Basis)="ibnp",'paid claim lag dump'!AI20,'reported claim lag dump'!AI20)</f>
        <v>0</v>
      </c>
      <c r="AJ20" s="209">
        <f>IF(LOWER(Basis)="ibnp",'paid claim lag dump'!AJ20,'reported claim lag dump'!AJ20)</f>
        <v>0</v>
      </c>
      <c r="AK20" s="209">
        <f>IF(LOWER(Basis)="ibnp",'paid claim lag dump'!AK20,'reported claim lag dump'!AK20)</f>
        <v>0</v>
      </c>
      <c r="AL20" s="209">
        <f>IF(LOWER(Basis)="ibnp",'paid claim lag dump'!AL20,'reported claim lag dump'!AL20)</f>
        <v>0</v>
      </c>
      <c r="AM20" s="207"/>
    </row>
    <row r="21" spans="1:39" ht="12.75">
      <c r="A21" s="204"/>
      <c r="B21" s="208">
        <f>'general dump'!B21</f>
        <v>36557</v>
      </c>
      <c r="C21" s="209">
        <f>IF(LOWER(Basis)="ibnp",'paid claim lag dump'!C21,'reported claim lag dump'!C21)</f>
        <v>9736</v>
      </c>
      <c r="D21" s="209">
        <f>IF(LOWER(Basis)="ibnp",'paid claim lag dump'!D21,'reported claim lag dump'!D21)</f>
        <v>90376</v>
      </c>
      <c r="E21" s="209">
        <f>IF(LOWER(Basis)="ibnp",'paid claim lag dump'!E21,'reported claim lag dump'!E21)</f>
        <v>64236</v>
      </c>
      <c r="F21" s="209">
        <f>IF(LOWER(Basis)="ibnp",'paid claim lag dump'!F21,'reported claim lag dump'!F21)</f>
        <v>12899</v>
      </c>
      <c r="G21" s="209">
        <f>IF(LOWER(Basis)="ibnp",'paid claim lag dump'!G21,'reported claim lag dump'!G21)</f>
        <v>29961</v>
      </c>
      <c r="H21" s="209">
        <f>IF(LOWER(Basis)="ibnp",'paid claim lag dump'!H21,'reported claim lag dump'!H21)</f>
        <v>702</v>
      </c>
      <c r="I21" s="209">
        <f>IF(LOWER(Basis)="ibnp",'paid claim lag dump'!I21,'reported claim lag dump'!I21)</f>
        <v>1231</v>
      </c>
      <c r="J21" s="209">
        <f>IF(LOWER(Basis)="ibnp",'paid claim lag dump'!J21,'reported claim lag dump'!J21)</f>
        <v>530</v>
      </c>
      <c r="K21" s="209">
        <f>IF(LOWER(Basis)="ibnp",'paid claim lag dump'!K21,'reported claim lag dump'!K21)</f>
        <v>991</v>
      </c>
      <c r="L21" s="209">
        <f>IF(LOWER(Basis)="ibnp",'paid claim lag dump'!L21,'reported claim lag dump'!L21)</f>
        <v>30</v>
      </c>
      <c r="M21" s="209">
        <f>IF(LOWER(Basis)="ibnp",'paid claim lag dump'!M21,'reported claim lag dump'!M21)</f>
        <v>0</v>
      </c>
      <c r="N21" s="209">
        <f>IF(LOWER(Basis)="ibnp",'paid claim lag dump'!N21,'reported claim lag dump'!N21)</f>
        <v>0</v>
      </c>
      <c r="O21" s="209">
        <f>IF(LOWER(Basis)="ibnp",'paid claim lag dump'!O21,'reported claim lag dump'!O21)</f>
        <v>0</v>
      </c>
      <c r="P21" s="209">
        <f>IF(LOWER(Basis)="ibnp",'paid claim lag dump'!P21,'reported claim lag dump'!P21)</f>
        <v>0</v>
      </c>
      <c r="Q21" s="209">
        <f>IF(LOWER(Basis)="ibnp",'paid claim lag dump'!Q21,'reported claim lag dump'!Q21)</f>
        <v>0</v>
      </c>
      <c r="R21" s="209">
        <f>IF(LOWER(Basis)="ibnp",'paid claim lag dump'!R21,'reported claim lag dump'!R21)</f>
        <v>791</v>
      </c>
      <c r="S21" s="209">
        <f>IF(LOWER(Basis)="ibnp",'paid claim lag dump'!S21,'reported claim lag dump'!S21)</f>
        <v>0</v>
      </c>
      <c r="T21" s="209">
        <f>IF(LOWER(Basis)="ibnp",'paid claim lag dump'!T21,'reported claim lag dump'!T21)</f>
        <v>0</v>
      </c>
      <c r="U21" s="209">
        <f>IF(LOWER(Basis)="ibnp",'paid claim lag dump'!U21,'reported claim lag dump'!U21)</f>
        <v>0</v>
      </c>
      <c r="V21" s="209">
        <f>IF(LOWER(Basis)="ibnp",'paid claim lag dump'!V21,'reported claim lag dump'!V21)</f>
        <v>80</v>
      </c>
      <c r="W21" s="209">
        <f>IF(LOWER(Basis)="ibnp",'paid claim lag dump'!W21,'reported claim lag dump'!W21)</f>
        <v>0</v>
      </c>
      <c r="X21" s="209">
        <f>IF(LOWER(Basis)="ibnp",'paid claim lag dump'!X21,'reported claim lag dump'!X21)</f>
        <v>0</v>
      </c>
      <c r="Y21" s="209">
        <f>IF(LOWER(Basis)="ibnp",'paid claim lag dump'!Y21,'reported claim lag dump'!Y21)</f>
        <v>0</v>
      </c>
      <c r="Z21" s="209">
        <f>IF(LOWER(Basis)="ibnp",'paid claim lag dump'!Z21,'reported claim lag dump'!Z21)</f>
        <v>0</v>
      </c>
      <c r="AA21" s="209">
        <f>IF(LOWER(Basis)="ibnp",'paid claim lag dump'!AA21,'reported claim lag dump'!AA21)</f>
        <v>0</v>
      </c>
      <c r="AB21" s="209">
        <f>IF(LOWER(Basis)="ibnp",'paid claim lag dump'!AB21,'reported claim lag dump'!AB21)</f>
        <v>0</v>
      </c>
      <c r="AC21" s="209">
        <f>IF(LOWER(Basis)="ibnp",'paid claim lag dump'!AC21,'reported claim lag dump'!AC21)</f>
        <v>0</v>
      </c>
      <c r="AD21" s="209">
        <f>IF(LOWER(Basis)="ibnp",'paid claim lag dump'!AD21,'reported claim lag dump'!AD21)</f>
        <v>0</v>
      </c>
      <c r="AE21" s="209">
        <f>IF(LOWER(Basis)="ibnp",'paid claim lag dump'!AE21,'reported claim lag dump'!AE21)</f>
        <v>0</v>
      </c>
      <c r="AF21" s="209">
        <f>IF(LOWER(Basis)="ibnp",'paid claim lag dump'!AF21,'reported claim lag dump'!AF21)</f>
        <v>0</v>
      </c>
      <c r="AG21" s="209">
        <f>IF(LOWER(Basis)="ibnp",'paid claim lag dump'!AG21,'reported claim lag dump'!AG21)</f>
        <v>0</v>
      </c>
      <c r="AH21" s="209">
        <f>IF(LOWER(Basis)="ibnp",'paid claim lag dump'!AH21,'reported claim lag dump'!AH21)</f>
        <v>0</v>
      </c>
      <c r="AI21" s="209">
        <f>IF(LOWER(Basis)="ibnp",'paid claim lag dump'!AI21,'reported claim lag dump'!AI21)</f>
        <v>0</v>
      </c>
      <c r="AJ21" s="209">
        <f>IF(LOWER(Basis)="ibnp",'paid claim lag dump'!AJ21,'reported claim lag dump'!AJ21)</f>
        <v>0</v>
      </c>
      <c r="AK21" s="209">
        <f>IF(LOWER(Basis)="ibnp",'paid claim lag dump'!AK21,'reported claim lag dump'!AK21)</f>
        <v>0</v>
      </c>
      <c r="AL21" s="209">
        <f>IF(LOWER(Basis)="ibnp",'paid claim lag dump'!AL21,'reported claim lag dump'!AL21)</f>
        <v>0</v>
      </c>
      <c r="AM21" s="207"/>
    </row>
    <row r="22" spans="1:39" ht="12.75">
      <c r="A22" s="204"/>
      <c r="B22" s="208">
        <f>'general dump'!B22</f>
        <v>36586</v>
      </c>
      <c r="C22" s="209">
        <f>IF(LOWER(Basis)="ibnp",'paid claim lag dump'!C22,'reported claim lag dump'!C22)</f>
        <v>68074</v>
      </c>
      <c r="D22" s="209">
        <f>IF(LOWER(Basis)="ibnp",'paid claim lag dump'!D22,'reported claim lag dump'!D22)</f>
        <v>108795</v>
      </c>
      <c r="E22" s="209">
        <f>IF(LOWER(Basis)="ibnp",'paid claim lag dump'!E22,'reported claim lag dump'!E22)</f>
        <v>22323</v>
      </c>
      <c r="F22" s="209">
        <f>IF(LOWER(Basis)="ibnp",'paid claim lag dump'!F22,'reported claim lag dump'!F22)</f>
        <v>1146</v>
      </c>
      <c r="G22" s="209">
        <f>IF(LOWER(Basis)="ibnp",'paid claim lag dump'!G22,'reported claim lag dump'!G22)</f>
        <v>6942</v>
      </c>
      <c r="H22" s="209">
        <f>IF(LOWER(Basis)="ibnp",'paid claim lag dump'!H22,'reported claim lag dump'!H22)</f>
        <v>821</v>
      </c>
      <c r="I22" s="209">
        <f>IF(LOWER(Basis)="ibnp",'paid claim lag dump'!I22,'reported claim lag dump'!I22)</f>
        <v>1096</v>
      </c>
      <c r="J22" s="209">
        <f>IF(LOWER(Basis)="ibnp",'paid claim lag dump'!J22,'reported claim lag dump'!J22)</f>
        <v>511</v>
      </c>
      <c r="K22" s="209">
        <f>IF(LOWER(Basis)="ibnp",'paid claim lag dump'!K22,'reported claim lag dump'!K22)</f>
        <v>954</v>
      </c>
      <c r="L22" s="209">
        <f>IF(LOWER(Basis)="ibnp",'paid claim lag dump'!L22,'reported claim lag dump'!L22)</f>
        <v>30</v>
      </c>
      <c r="M22" s="209">
        <f>IF(LOWER(Basis)="ibnp",'paid claim lag dump'!M22,'reported claim lag dump'!M22)</f>
        <v>0</v>
      </c>
      <c r="N22" s="209">
        <f>IF(LOWER(Basis)="ibnp",'paid claim lag dump'!N22,'reported claim lag dump'!N22)</f>
        <v>0</v>
      </c>
      <c r="O22" s="209">
        <f>IF(LOWER(Basis)="ibnp",'paid claim lag dump'!O22,'reported claim lag dump'!O22)</f>
        <v>0</v>
      </c>
      <c r="P22" s="209">
        <f>IF(LOWER(Basis)="ibnp",'paid claim lag dump'!P22,'reported claim lag dump'!P22)</f>
        <v>0</v>
      </c>
      <c r="Q22" s="209">
        <f>IF(LOWER(Basis)="ibnp",'paid claim lag dump'!Q22,'reported claim lag dump'!Q22)</f>
        <v>0</v>
      </c>
      <c r="R22" s="209">
        <f>IF(LOWER(Basis)="ibnp",'paid claim lag dump'!R22,'reported claim lag dump'!R22)</f>
        <v>791</v>
      </c>
      <c r="S22" s="209">
        <f>IF(LOWER(Basis)="ibnp",'paid claim lag dump'!S22,'reported claim lag dump'!S22)</f>
        <v>0</v>
      </c>
      <c r="T22" s="209">
        <f>IF(LOWER(Basis)="ibnp",'paid claim lag dump'!T22,'reported claim lag dump'!T22)</f>
        <v>0</v>
      </c>
      <c r="U22" s="209">
        <f>IF(LOWER(Basis)="ibnp",'paid claim lag dump'!U22,'reported claim lag dump'!U22)</f>
        <v>0</v>
      </c>
      <c r="V22" s="209">
        <f>IF(LOWER(Basis)="ibnp",'paid claim lag dump'!V22,'reported claim lag dump'!V22)</f>
        <v>80</v>
      </c>
      <c r="W22" s="209">
        <f>IF(LOWER(Basis)="ibnp",'paid claim lag dump'!W22,'reported claim lag dump'!W22)</f>
        <v>0</v>
      </c>
      <c r="X22" s="209">
        <f>IF(LOWER(Basis)="ibnp",'paid claim lag dump'!X22,'reported claim lag dump'!X22)</f>
        <v>0</v>
      </c>
      <c r="Y22" s="209">
        <f>IF(LOWER(Basis)="ibnp",'paid claim lag dump'!Y22,'reported claim lag dump'!Y22)</f>
        <v>0</v>
      </c>
      <c r="Z22" s="209">
        <f>IF(LOWER(Basis)="ibnp",'paid claim lag dump'!Z22,'reported claim lag dump'!Z22)</f>
        <v>0</v>
      </c>
      <c r="AA22" s="209">
        <f>IF(LOWER(Basis)="ibnp",'paid claim lag dump'!AA22,'reported claim lag dump'!AA22)</f>
        <v>0</v>
      </c>
      <c r="AB22" s="209">
        <f>IF(LOWER(Basis)="ibnp",'paid claim lag dump'!AB22,'reported claim lag dump'!AB22)</f>
        <v>0</v>
      </c>
      <c r="AC22" s="209">
        <f>IF(LOWER(Basis)="ibnp",'paid claim lag dump'!AC22,'reported claim lag dump'!AC22)</f>
        <v>0</v>
      </c>
      <c r="AD22" s="209">
        <f>IF(LOWER(Basis)="ibnp",'paid claim lag dump'!AD22,'reported claim lag dump'!AD22)</f>
        <v>0</v>
      </c>
      <c r="AE22" s="209">
        <f>IF(LOWER(Basis)="ibnp",'paid claim lag dump'!AE22,'reported claim lag dump'!AE22)</f>
        <v>0</v>
      </c>
      <c r="AF22" s="209">
        <f>IF(LOWER(Basis)="ibnp",'paid claim lag dump'!AF22,'reported claim lag dump'!AF22)</f>
        <v>0</v>
      </c>
      <c r="AG22" s="209">
        <f>IF(LOWER(Basis)="ibnp",'paid claim lag dump'!AG22,'reported claim lag dump'!AG22)</f>
        <v>0</v>
      </c>
      <c r="AH22" s="209">
        <f>IF(LOWER(Basis)="ibnp",'paid claim lag dump'!AH22,'reported claim lag dump'!AH22)</f>
        <v>0</v>
      </c>
      <c r="AI22" s="209">
        <f>IF(LOWER(Basis)="ibnp",'paid claim lag dump'!AI22,'reported claim lag dump'!AI22)</f>
        <v>0</v>
      </c>
      <c r="AJ22" s="209">
        <f>IF(LOWER(Basis)="ibnp",'paid claim lag dump'!AJ22,'reported claim lag dump'!AJ22)</f>
        <v>0</v>
      </c>
      <c r="AK22" s="209">
        <f>IF(LOWER(Basis)="ibnp",'paid claim lag dump'!AK22,'reported claim lag dump'!AK22)</f>
        <v>0</v>
      </c>
      <c r="AL22" s="209">
        <f>IF(LOWER(Basis)="ibnp",'paid claim lag dump'!AL22,'reported claim lag dump'!AL22)</f>
        <v>0</v>
      </c>
      <c r="AM22" s="207"/>
    </row>
    <row r="23" spans="1:39" ht="12.75">
      <c r="A23" s="204"/>
      <c r="B23" s="208">
        <f>'general dump'!B23</f>
        <v>36617</v>
      </c>
      <c r="C23" s="209">
        <f>IF(LOWER(Basis)="ibnp",'paid claim lag dump'!C23,'reported claim lag dump'!C23)</f>
        <v>10201</v>
      </c>
      <c r="D23" s="209">
        <f>IF(LOWER(Basis)="ibnp",'paid claim lag dump'!D23,'reported claim lag dump'!D23)</f>
        <v>90658</v>
      </c>
      <c r="E23" s="209">
        <f>IF(LOWER(Basis)="ibnp",'paid claim lag dump'!E23,'reported claim lag dump'!E23)</f>
        <v>24213</v>
      </c>
      <c r="F23" s="209">
        <f>IF(LOWER(Basis)="ibnp",'paid claim lag dump'!F23,'reported claim lag dump'!F23)</f>
        <v>20107</v>
      </c>
      <c r="G23" s="209">
        <f>IF(LOWER(Basis)="ibnp",'paid claim lag dump'!G23,'reported claim lag dump'!G23)</f>
        <v>28866</v>
      </c>
      <c r="H23" s="209">
        <f>IF(LOWER(Basis)="ibnp",'paid claim lag dump'!H23,'reported claim lag dump'!H23)</f>
        <v>6492</v>
      </c>
      <c r="I23" s="209">
        <f>IF(LOWER(Basis)="ibnp",'paid claim lag dump'!I23,'reported claim lag dump'!I23)</f>
        <v>1428</v>
      </c>
      <c r="J23" s="209">
        <f>IF(LOWER(Basis)="ibnp",'paid claim lag dump'!J23,'reported claim lag dump'!J23)</f>
        <v>616</v>
      </c>
      <c r="K23" s="209">
        <f>IF(LOWER(Basis)="ibnp",'paid claim lag dump'!K23,'reported claim lag dump'!K23)</f>
        <v>53</v>
      </c>
      <c r="L23" s="209">
        <f>IF(LOWER(Basis)="ibnp",'paid claim lag dump'!L23,'reported claim lag dump'!L23)</f>
        <v>168</v>
      </c>
      <c r="M23" s="209">
        <f>IF(LOWER(Basis)="ibnp",'paid claim lag dump'!M23,'reported claim lag dump'!M23)</f>
        <v>0</v>
      </c>
      <c r="N23" s="209">
        <f>IF(LOWER(Basis)="ibnp",'paid claim lag dump'!N23,'reported claim lag dump'!N23)</f>
        <v>0</v>
      </c>
      <c r="O23" s="209">
        <f>IF(LOWER(Basis)="ibnp",'paid claim lag dump'!O23,'reported claim lag dump'!O23)</f>
        <v>0</v>
      </c>
      <c r="P23" s="209">
        <f>IF(LOWER(Basis)="ibnp",'paid claim lag dump'!P23,'reported claim lag dump'!P23)</f>
        <v>0</v>
      </c>
      <c r="Q23" s="209">
        <f>IF(LOWER(Basis)="ibnp",'paid claim lag dump'!Q23,'reported claim lag dump'!Q23)</f>
        <v>0</v>
      </c>
      <c r="R23" s="209">
        <f>IF(LOWER(Basis)="ibnp",'paid claim lag dump'!R23,'reported claim lag dump'!R23)</f>
        <v>0</v>
      </c>
      <c r="S23" s="209">
        <f>IF(LOWER(Basis)="ibnp",'paid claim lag dump'!S23,'reported claim lag dump'!S23)</f>
        <v>0</v>
      </c>
      <c r="T23" s="209">
        <f>IF(LOWER(Basis)="ibnp",'paid claim lag dump'!T23,'reported claim lag dump'!T23)</f>
        <v>392</v>
      </c>
      <c r="U23" s="209">
        <f>IF(LOWER(Basis)="ibnp",'paid claim lag dump'!U23,'reported claim lag dump'!U23)</f>
        <v>0</v>
      </c>
      <c r="V23" s="209">
        <f>IF(LOWER(Basis)="ibnp",'paid claim lag dump'!V23,'reported claim lag dump'!V23)</f>
        <v>0</v>
      </c>
      <c r="W23" s="209">
        <f>IF(LOWER(Basis)="ibnp",'paid claim lag dump'!W23,'reported claim lag dump'!W23)</f>
        <v>0</v>
      </c>
      <c r="X23" s="209">
        <f>IF(LOWER(Basis)="ibnp",'paid claim lag dump'!X23,'reported claim lag dump'!X23)</f>
        <v>0</v>
      </c>
      <c r="Y23" s="209">
        <f>IF(LOWER(Basis)="ibnp",'paid claim lag dump'!Y23,'reported claim lag dump'!Y23)</f>
        <v>0</v>
      </c>
      <c r="Z23" s="209">
        <f>IF(LOWER(Basis)="ibnp",'paid claim lag dump'!Z23,'reported claim lag dump'!Z23)</f>
        <v>0</v>
      </c>
      <c r="AA23" s="209">
        <f>IF(LOWER(Basis)="ibnp",'paid claim lag dump'!AA23,'reported claim lag dump'!AA23)</f>
        <v>0</v>
      </c>
      <c r="AB23" s="209">
        <f>IF(LOWER(Basis)="ibnp",'paid claim lag dump'!AB23,'reported claim lag dump'!AB23)</f>
        <v>0</v>
      </c>
      <c r="AC23" s="209">
        <f>IF(LOWER(Basis)="ibnp",'paid claim lag dump'!AC23,'reported claim lag dump'!AC23)</f>
        <v>0</v>
      </c>
      <c r="AD23" s="209">
        <f>IF(LOWER(Basis)="ibnp",'paid claim lag dump'!AD23,'reported claim lag dump'!AD23)</f>
        <v>0</v>
      </c>
      <c r="AE23" s="209">
        <f>IF(LOWER(Basis)="ibnp",'paid claim lag dump'!AE23,'reported claim lag dump'!AE23)</f>
        <v>0</v>
      </c>
      <c r="AF23" s="209">
        <f>IF(LOWER(Basis)="ibnp",'paid claim lag dump'!AF23,'reported claim lag dump'!AF23)</f>
        <v>0</v>
      </c>
      <c r="AG23" s="209">
        <f>IF(LOWER(Basis)="ibnp",'paid claim lag dump'!AG23,'reported claim lag dump'!AG23)</f>
        <v>0</v>
      </c>
      <c r="AH23" s="209">
        <f>IF(LOWER(Basis)="ibnp",'paid claim lag dump'!AH23,'reported claim lag dump'!AH23)</f>
        <v>0</v>
      </c>
      <c r="AI23" s="209">
        <f>IF(LOWER(Basis)="ibnp",'paid claim lag dump'!AI23,'reported claim lag dump'!AI23)</f>
        <v>0</v>
      </c>
      <c r="AJ23" s="209">
        <f>IF(LOWER(Basis)="ibnp",'paid claim lag dump'!AJ23,'reported claim lag dump'!AJ23)</f>
        <v>0</v>
      </c>
      <c r="AK23" s="209">
        <f>IF(LOWER(Basis)="ibnp",'paid claim lag dump'!AK23,'reported claim lag dump'!AK23)</f>
        <v>0</v>
      </c>
      <c r="AL23" s="209">
        <f>IF(LOWER(Basis)="ibnp",'paid claim lag dump'!AL23,'reported claim lag dump'!AL23)</f>
        <v>0</v>
      </c>
      <c r="AM23" s="207"/>
    </row>
    <row r="24" spans="1:39" ht="12.75">
      <c r="A24" s="204"/>
      <c r="B24" s="208">
        <f>'general dump'!B24</f>
        <v>36647</v>
      </c>
      <c r="C24" s="209">
        <f>IF(LOWER(Basis)="ibnp",'paid claim lag dump'!C24,'reported claim lag dump'!C24)</f>
        <v>80043</v>
      </c>
      <c r="D24" s="209">
        <f>IF(LOWER(Basis)="ibnp",'paid claim lag dump'!D24,'reported claim lag dump'!D24)</f>
        <v>39941</v>
      </c>
      <c r="E24" s="209">
        <f>IF(LOWER(Basis)="ibnp",'paid claim lag dump'!E24,'reported claim lag dump'!E24)</f>
        <v>10905</v>
      </c>
      <c r="F24" s="209">
        <f>IF(LOWER(Basis)="ibnp",'paid claim lag dump'!F24,'reported claim lag dump'!F24)</f>
        <v>38977</v>
      </c>
      <c r="G24" s="209">
        <f>IF(LOWER(Basis)="ibnp",'paid claim lag dump'!G24,'reported claim lag dump'!G24)</f>
        <v>4745</v>
      </c>
      <c r="H24" s="209">
        <f>IF(LOWER(Basis)="ibnp",'paid claim lag dump'!H24,'reported claim lag dump'!H24)</f>
        <v>6586</v>
      </c>
      <c r="I24" s="209">
        <f>IF(LOWER(Basis)="ibnp",'paid claim lag dump'!I24,'reported claim lag dump'!I24)</f>
        <v>1310</v>
      </c>
      <c r="J24" s="209">
        <f>IF(LOWER(Basis)="ibnp",'paid claim lag dump'!J24,'reported claim lag dump'!J24)</f>
        <v>107</v>
      </c>
      <c r="K24" s="209">
        <f>IF(LOWER(Basis)="ibnp",'paid claim lag dump'!K24,'reported claim lag dump'!K24)</f>
        <v>20</v>
      </c>
      <c r="L24" s="209">
        <f>IF(LOWER(Basis)="ibnp",'paid claim lag dump'!L24,'reported claim lag dump'!L24)</f>
        <v>168</v>
      </c>
      <c r="M24" s="209">
        <f>IF(LOWER(Basis)="ibnp",'paid claim lag dump'!M24,'reported claim lag dump'!M24)</f>
        <v>0</v>
      </c>
      <c r="N24" s="209">
        <f>IF(LOWER(Basis)="ibnp",'paid claim lag dump'!N24,'reported claim lag dump'!N24)</f>
        <v>0</v>
      </c>
      <c r="O24" s="209">
        <f>IF(LOWER(Basis)="ibnp",'paid claim lag dump'!O24,'reported claim lag dump'!O24)</f>
        <v>0</v>
      </c>
      <c r="P24" s="209">
        <f>IF(LOWER(Basis)="ibnp",'paid claim lag dump'!P24,'reported claim lag dump'!P24)</f>
        <v>0</v>
      </c>
      <c r="Q24" s="209">
        <f>IF(LOWER(Basis)="ibnp",'paid claim lag dump'!Q24,'reported claim lag dump'!Q24)</f>
        <v>0</v>
      </c>
      <c r="R24" s="209">
        <f>IF(LOWER(Basis)="ibnp",'paid claim lag dump'!R24,'reported claim lag dump'!R24)</f>
        <v>0</v>
      </c>
      <c r="S24" s="209">
        <f>IF(LOWER(Basis)="ibnp",'paid claim lag dump'!S24,'reported claim lag dump'!S24)</f>
        <v>0</v>
      </c>
      <c r="T24" s="209">
        <f>IF(LOWER(Basis)="ibnp",'paid claim lag dump'!T24,'reported claim lag dump'!T24)</f>
        <v>392</v>
      </c>
      <c r="U24" s="209">
        <f>IF(LOWER(Basis)="ibnp",'paid claim lag dump'!U24,'reported claim lag dump'!U24)</f>
        <v>0</v>
      </c>
      <c r="V24" s="209">
        <f>IF(LOWER(Basis)="ibnp",'paid claim lag dump'!V24,'reported claim lag dump'!V24)</f>
        <v>0</v>
      </c>
      <c r="W24" s="209">
        <f>IF(LOWER(Basis)="ibnp",'paid claim lag dump'!W24,'reported claim lag dump'!W24)</f>
        <v>0</v>
      </c>
      <c r="X24" s="209">
        <f>IF(LOWER(Basis)="ibnp",'paid claim lag dump'!X24,'reported claim lag dump'!X24)</f>
        <v>0</v>
      </c>
      <c r="Y24" s="209">
        <f>IF(LOWER(Basis)="ibnp",'paid claim lag dump'!Y24,'reported claim lag dump'!Y24)</f>
        <v>0</v>
      </c>
      <c r="Z24" s="209">
        <f>IF(LOWER(Basis)="ibnp",'paid claim lag dump'!Z24,'reported claim lag dump'!Z24)</f>
        <v>0</v>
      </c>
      <c r="AA24" s="209">
        <f>IF(LOWER(Basis)="ibnp",'paid claim lag dump'!AA24,'reported claim lag dump'!AA24)</f>
        <v>0</v>
      </c>
      <c r="AB24" s="209">
        <f>IF(LOWER(Basis)="ibnp",'paid claim lag dump'!AB24,'reported claim lag dump'!AB24)</f>
        <v>0</v>
      </c>
      <c r="AC24" s="209">
        <f>IF(LOWER(Basis)="ibnp",'paid claim lag dump'!AC24,'reported claim lag dump'!AC24)</f>
        <v>0</v>
      </c>
      <c r="AD24" s="209">
        <f>IF(LOWER(Basis)="ibnp",'paid claim lag dump'!AD24,'reported claim lag dump'!AD24)</f>
        <v>0</v>
      </c>
      <c r="AE24" s="209">
        <f>IF(LOWER(Basis)="ibnp",'paid claim lag dump'!AE24,'reported claim lag dump'!AE24)</f>
        <v>0</v>
      </c>
      <c r="AF24" s="209">
        <f>IF(LOWER(Basis)="ibnp",'paid claim lag dump'!AF24,'reported claim lag dump'!AF24)</f>
        <v>0</v>
      </c>
      <c r="AG24" s="209">
        <f>IF(LOWER(Basis)="ibnp",'paid claim lag dump'!AG24,'reported claim lag dump'!AG24)</f>
        <v>0</v>
      </c>
      <c r="AH24" s="209">
        <f>IF(LOWER(Basis)="ibnp",'paid claim lag dump'!AH24,'reported claim lag dump'!AH24)</f>
        <v>0</v>
      </c>
      <c r="AI24" s="209">
        <f>IF(LOWER(Basis)="ibnp",'paid claim lag dump'!AI24,'reported claim lag dump'!AI24)</f>
        <v>0</v>
      </c>
      <c r="AJ24" s="209">
        <f>IF(LOWER(Basis)="ibnp",'paid claim lag dump'!AJ24,'reported claim lag dump'!AJ24)</f>
        <v>0</v>
      </c>
      <c r="AK24" s="209">
        <f>IF(LOWER(Basis)="ibnp",'paid claim lag dump'!AK24,'reported claim lag dump'!AK24)</f>
        <v>0</v>
      </c>
      <c r="AL24" s="209">
        <f>IF(LOWER(Basis)="ibnp",'paid claim lag dump'!AL24,'reported claim lag dump'!AL24)</f>
        <v>0</v>
      </c>
      <c r="AM24" s="207"/>
    </row>
    <row r="25" spans="1:39" ht="12.75">
      <c r="A25" s="204"/>
      <c r="B25" s="208">
        <f>'general dump'!B25</f>
        <v>36678</v>
      </c>
      <c r="C25" s="209">
        <f>IF(LOWER(Basis)="ibnp",'paid claim lag dump'!C25,'reported claim lag dump'!C25)</f>
        <v>4501</v>
      </c>
      <c r="D25" s="209">
        <f>IF(LOWER(Basis)="ibnp",'paid claim lag dump'!D25,'reported claim lag dump'!D25)</f>
        <v>74638</v>
      </c>
      <c r="E25" s="209">
        <f>IF(LOWER(Basis)="ibnp",'paid claim lag dump'!E25,'reported claim lag dump'!E25)</f>
        <v>87955</v>
      </c>
      <c r="F25" s="209">
        <f>IF(LOWER(Basis)="ibnp",'paid claim lag dump'!F25,'reported claim lag dump'!F25)</f>
        <v>99302</v>
      </c>
      <c r="G25" s="209">
        <f>IF(LOWER(Basis)="ibnp",'paid claim lag dump'!G25,'reported claim lag dump'!G25)</f>
        <v>13877</v>
      </c>
      <c r="H25" s="209">
        <f>IF(LOWER(Basis)="ibnp",'paid claim lag dump'!H25,'reported claim lag dump'!H25)</f>
        <v>20118</v>
      </c>
      <c r="I25" s="209">
        <f>IF(LOWER(Basis)="ibnp",'paid claim lag dump'!I25,'reported claim lag dump'!I25)</f>
        <v>5661</v>
      </c>
      <c r="J25" s="209">
        <f>IF(LOWER(Basis)="ibnp",'paid claim lag dump'!J25,'reported claim lag dump'!J25)</f>
        <v>21364</v>
      </c>
      <c r="K25" s="209">
        <f>IF(LOWER(Basis)="ibnp",'paid claim lag dump'!K25,'reported claim lag dump'!K25)</f>
        <v>159</v>
      </c>
      <c r="L25" s="209">
        <f>IF(LOWER(Basis)="ibnp",'paid claim lag dump'!L25,'reported claim lag dump'!L25)</f>
        <v>480</v>
      </c>
      <c r="M25" s="209">
        <f>IF(LOWER(Basis)="ibnp",'paid claim lag dump'!M25,'reported claim lag dump'!M25)</f>
        <v>28</v>
      </c>
      <c r="N25" s="209">
        <f>IF(LOWER(Basis)="ibnp",'paid claim lag dump'!N25,'reported claim lag dump'!N25)</f>
        <v>693</v>
      </c>
      <c r="O25" s="209">
        <f>IF(LOWER(Basis)="ibnp",'paid claim lag dump'!O25,'reported claim lag dump'!O25)</f>
        <v>0</v>
      </c>
      <c r="P25" s="209">
        <f>IF(LOWER(Basis)="ibnp",'paid claim lag dump'!P25,'reported claim lag dump'!P25)</f>
        <v>0</v>
      </c>
      <c r="Q25" s="209">
        <f>IF(LOWER(Basis)="ibnp",'paid claim lag dump'!Q25,'reported claim lag dump'!Q25)</f>
        <v>131</v>
      </c>
      <c r="R25" s="209">
        <f>IF(LOWER(Basis)="ibnp",'paid claim lag dump'!R25,'reported claim lag dump'!R25)</f>
        <v>0</v>
      </c>
      <c r="S25" s="209">
        <f>IF(LOWER(Basis)="ibnp",'paid claim lag dump'!S25,'reported claim lag dump'!S25)</f>
        <v>294</v>
      </c>
      <c r="T25" s="209">
        <f>IF(LOWER(Basis)="ibnp",'paid claim lag dump'!T25,'reported claim lag dump'!T25)</f>
        <v>0</v>
      </c>
      <c r="U25" s="209">
        <f>IF(LOWER(Basis)="ibnp",'paid claim lag dump'!U25,'reported claim lag dump'!U25)</f>
        <v>0</v>
      </c>
      <c r="V25" s="209">
        <f>IF(LOWER(Basis)="ibnp",'paid claim lag dump'!V25,'reported claim lag dump'!V25)</f>
        <v>96</v>
      </c>
      <c r="W25" s="209">
        <f>IF(LOWER(Basis)="ibnp",'paid claim lag dump'!W25,'reported claim lag dump'!W25)</f>
        <v>0</v>
      </c>
      <c r="X25" s="209">
        <f>IF(LOWER(Basis)="ibnp",'paid claim lag dump'!X25,'reported claim lag dump'!X25)</f>
        <v>0</v>
      </c>
      <c r="Y25" s="209">
        <f>IF(LOWER(Basis)="ibnp",'paid claim lag dump'!Y25,'reported claim lag dump'!Y25)</f>
        <v>0</v>
      </c>
      <c r="Z25" s="209">
        <f>IF(LOWER(Basis)="ibnp",'paid claim lag dump'!Z25,'reported claim lag dump'!Z25)</f>
        <v>0</v>
      </c>
      <c r="AA25" s="209">
        <f>IF(LOWER(Basis)="ibnp",'paid claim lag dump'!AA25,'reported claim lag dump'!AA25)</f>
        <v>0</v>
      </c>
      <c r="AB25" s="209">
        <f>IF(LOWER(Basis)="ibnp",'paid claim lag dump'!AB25,'reported claim lag dump'!AB25)</f>
        <v>0</v>
      </c>
      <c r="AC25" s="209">
        <f>IF(LOWER(Basis)="ibnp",'paid claim lag dump'!AC25,'reported claim lag dump'!AC25)</f>
        <v>0</v>
      </c>
      <c r="AD25" s="209">
        <f>IF(LOWER(Basis)="ibnp",'paid claim lag dump'!AD25,'reported claim lag dump'!AD25)</f>
        <v>0</v>
      </c>
      <c r="AE25" s="209">
        <f>IF(LOWER(Basis)="ibnp",'paid claim lag dump'!AE25,'reported claim lag dump'!AE25)</f>
        <v>0</v>
      </c>
      <c r="AF25" s="209">
        <f>IF(LOWER(Basis)="ibnp",'paid claim lag dump'!AF25,'reported claim lag dump'!AF25)</f>
        <v>0</v>
      </c>
      <c r="AG25" s="209">
        <f>IF(LOWER(Basis)="ibnp",'paid claim lag dump'!AG25,'reported claim lag dump'!AG25)</f>
        <v>0</v>
      </c>
      <c r="AH25" s="209">
        <f>IF(LOWER(Basis)="ibnp",'paid claim lag dump'!AH25,'reported claim lag dump'!AH25)</f>
        <v>0</v>
      </c>
      <c r="AI25" s="209">
        <f>IF(LOWER(Basis)="ibnp",'paid claim lag dump'!AI25,'reported claim lag dump'!AI25)</f>
        <v>0</v>
      </c>
      <c r="AJ25" s="209">
        <f>IF(LOWER(Basis)="ibnp",'paid claim lag dump'!AJ25,'reported claim lag dump'!AJ25)</f>
        <v>0</v>
      </c>
      <c r="AK25" s="209">
        <f>IF(LOWER(Basis)="ibnp",'paid claim lag dump'!AK25,'reported claim lag dump'!AK25)</f>
        <v>0</v>
      </c>
      <c r="AL25" s="209">
        <f>IF(LOWER(Basis)="ibnp",'paid claim lag dump'!AL25,'reported claim lag dump'!AL25)</f>
        <v>0</v>
      </c>
      <c r="AM25" s="207"/>
    </row>
    <row r="26" spans="1:39" ht="12.75">
      <c r="A26" s="204"/>
      <c r="B26" s="208">
        <f>'general dump'!B26</f>
        <v>36708</v>
      </c>
      <c r="C26" s="209">
        <f>IF(LOWER(Basis)="ibnp",'paid claim lag dump'!C26,'reported claim lag dump'!C26)</f>
        <v>45495</v>
      </c>
      <c r="D26" s="209">
        <f>IF(LOWER(Basis)="ibnp",'paid claim lag dump'!D26,'reported claim lag dump'!D26)</f>
        <v>81868</v>
      </c>
      <c r="E26" s="209">
        <f>IF(LOWER(Basis)="ibnp",'paid claim lag dump'!E26,'reported claim lag dump'!E26)</f>
        <v>96720</v>
      </c>
      <c r="F26" s="209">
        <f>IF(LOWER(Basis)="ibnp",'paid claim lag dump'!F26,'reported claim lag dump'!F26)</f>
        <v>55381</v>
      </c>
      <c r="G26" s="209">
        <f>IF(LOWER(Basis)="ibnp",'paid claim lag dump'!G26,'reported claim lag dump'!G26)</f>
        <v>3174</v>
      </c>
      <c r="H26" s="209">
        <f>IF(LOWER(Basis)="ibnp",'paid claim lag dump'!H26,'reported claim lag dump'!H26)</f>
        <v>17865</v>
      </c>
      <c r="I26" s="209">
        <f>IF(LOWER(Basis)="ibnp",'paid claim lag dump'!I26,'reported claim lag dump'!I26)</f>
        <v>5653</v>
      </c>
      <c r="J26" s="209">
        <f>IF(LOWER(Basis)="ibnp",'paid claim lag dump'!J26,'reported claim lag dump'!J26)</f>
        <v>21419</v>
      </c>
      <c r="K26" s="209">
        <f>IF(LOWER(Basis)="ibnp",'paid claim lag dump'!K26,'reported claim lag dump'!K26)</f>
        <v>0</v>
      </c>
      <c r="L26" s="209">
        <f>IF(LOWER(Basis)="ibnp",'paid claim lag dump'!L26,'reported claim lag dump'!L26)</f>
        <v>480</v>
      </c>
      <c r="M26" s="209">
        <f>IF(LOWER(Basis)="ibnp",'paid claim lag dump'!M26,'reported claim lag dump'!M26)</f>
        <v>702</v>
      </c>
      <c r="N26" s="209">
        <f>IF(LOWER(Basis)="ibnp",'paid claim lag dump'!N26,'reported claim lag dump'!N26)</f>
        <v>19</v>
      </c>
      <c r="O26" s="209">
        <f>IF(LOWER(Basis)="ibnp",'paid claim lag dump'!O26,'reported claim lag dump'!O26)</f>
        <v>0</v>
      </c>
      <c r="P26" s="209">
        <f>IF(LOWER(Basis)="ibnp",'paid claim lag dump'!P26,'reported claim lag dump'!P26)</f>
        <v>131</v>
      </c>
      <c r="Q26" s="209">
        <f>IF(LOWER(Basis)="ibnp",'paid claim lag dump'!Q26,'reported claim lag dump'!Q26)</f>
        <v>0</v>
      </c>
      <c r="R26" s="209">
        <f>IF(LOWER(Basis)="ibnp",'paid claim lag dump'!R26,'reported claim lag dump'!R26)</f>
        <v>0</v>
      </c>
      <c r="S26" s="209">
        <f>IF(LOWER(Basis)="ibnp",'paid claim lag dump'!S26,'reported claim lag dump'!S26)</f>
        <v>294</v>
      </c>
      <c r="T26" s="209">
        <f>IF(LOWER(Basis)="ibnp",'paid claim lag dump'!T26,'reported claim lag dump'!T26)</f>
        <v>0</v>
      </c>
      <c r="U26" s="209">
        <f>IF(LOWER(Basis)="ibnp",'paid claim lag dump'!U26,'reported claim lag dump'!U26)</f>
        <v>0</v>
      </c>
      <c r="V26" s="209">
        <f>IF(LOWER(Basis)="ibnp",'paid claim lag dump'!V26,'reported claim lag dump'!V26)</f>
        <v>96</v>
      </c>
      <c r="W26" s="209">
        <f>IF(LOWER(Basis)="ibnp",'paid claim lag dump'!W26,'reported claim lag dump'!W26)</f>
        <v>0</v>
      </c>
      <c r="X26" s="209">
        <f>IF(LOWER(Basis)="ibnp",'paid claim lag dump'!X26,'reported claim lag dump'!X26)</f>
        <v>0</v>
      </c>
      <c r="Y26" s="209">
        <f>IF(LOWER(Basis)="ibnp",'paid claim lag dump'!Y26,'reported claim lag dump'!Y26)</f>
        <v>0</v>
      </c>
      <c r="Z26" s="209">
        <f>IF(LOWER(Basis)="ibnp",'paid claim lag dump'!Z26,'reported claim lag dump'!Z26)</f>
        <v>0</v>
      </c>
      <c r="AA26" s="209">
        <f>IF(LOWER(Basis)="ibnp",'paid claim lag dump'!AA26,'reported claim lag dump'!AA26)</f>
        <v>0</v>
      </c>
      <c r="AB26" s="209">
        <f>IF(LOWER(Basis)="ibnp",'paid claim lag dump'!AB26,'reported claim lag dump'!AB26)</f>
        <v>0</v>
      </c>
      <c r="AC26" s="209">
        <f>IF(LOWER(Basis)="ibnp",'paid claim lag dump'!AC26,'reported claim lag dump'!AC26)</f>
        <v>0</v>
      </c>
      <c r="AD26" s="209">
        <f>IF(LOWER(Basis)="ibnp",'paid claim lag dump'!AD26,'reported claim lag dump'!AD26)</f>
        <v>0</v>
      </c>
      <c r="AE26" s="209">
        <f>IF(LOWER(Basis)="ibnp",'paid claim lag dump'!AE26,'reported claim lag dump'!AE26)</f>
        <v>0</v>
      </c>
      <c r="AF26" s="209">
        <f>IF(LOWER(Basis)="ibnp",'paid claim lag dump'!AF26,'reported claim lag dump'!AF26)</f>
        <v>0</v>
      </c>
      <c r="AG26" s="209">
        <f>IF(LOWER(Basis)="ibnp",'paid claim lag dump'!AG26,'reported claim lag dump'!AG26)</f>
        <v>0</v>
      </c>
      <c r="AH26" s="209">
        <f>IF(LOWER(Basis)="ibnp",'paid claim lag dump'!AH26,'reported claim lag dump'!AH26)</f>
        <v>0</v>
      </c>
      <c r="AI26" s="209">
        <f>IF(LOWER(Basis)="ibnp",'paid claim lag dump'!AI26,'reported claim lag dump'!AI26)</f>
        <v>0</v>
      </c>
      <c r="AJ26" s="209">
        <f>IF(LOWER(Basis)="ibnp",'paid claim lag dump'!AJ26,'reported claim lag dump'!AJ26)</f>
        <v>0</v>
      </c>
      <c r="AK26" s="209">
        <f>IF(LOWER(Basis)="ibnp",'paid claim lag dump'!AK26,'reported claim lag dump'!AK26)</f>
        <v>0</v>
      </c>
      <c r="AL26" s="209">
        <f>IF(LOWER(Basis)="ibnp",'paid claim lag dump'!AL26,'reported claim lag dump'!AL26)</f>
        <v>0</v>
      </c>
      <c r="AM26" s="207"/>
    </row>
    <row r="27" spans="1:39" ht="12.75">
      <c r="A27" s="204"/>
      <c r="B27" s="208">
        <f>'general dump'!B27</f>
        <v>36739</v>
      </c>
      <c r="C27" s="209">
        <f>IF(LOWER(Basis)="ibnp",'paid claim lag dump'!C27,'reported claim lag dump'!C27)</f>
        <v>2952</v>
      </c>
      <c r="D27" s="209">
        <f>IF(LOWER(Basis)="ibnp",'paid claim lag dump'!D27,'reported claim lag dump'!D27)</f>
        <v>58928</v>
      </c>
      <c r="E27" s="209">
        <f>IF(LOWER(Basis)="ibnp",'paid claim lag dump'!E27,'reported claim lag dump'!E27)</f>
        <v>130303</v>
      </c>
      <c r="F27" s="209">
        <f>IF(LOWER(Basis)="ibnp",'paid claim lag dump'!F27,'reported claim lag dump'!F27)</f>
        <v>52128</v>
      </c>
      <c r="G27" s="209">
        <f>IF(LOWER(Basis)="ibnp",'paid claim lag dump'!G27,'reported claim lag dump'!G27)</f>
        <v>14870</v>
      </c>
      <c r="H27" s="209">
        <f>IF(LOWER(Basis)="ibnp",'paid claim lag dump'!H27,'reported claim lag dump'!H27)</f>
        <v>3898</v>
      </c>
      <c r="I27" s="209">
        <f>IF(LOWER(Basis)="ibnp",'paid claim lag dump'!I27,'reported claim lag dump'!I27)</f>
        <v>15681</v>
      </c>
      <c r="J27" s="209">
        <f>IF(LOWER(Basis)="ibnp",'paid claim lag dump'!J27,'reported claim lag dump'!J27)</f>
        <v>1013</v>
      </c>
      <c r="K27" s="209">
        <f>IF(LOWER(Basis)="ibnp",'paid claim lag dump'!K27,'reported claim lag dump'!K27)</f>
        <v>981</v>
      </c>
      <c r="L27" s="209">
        <f>IF(LOWER(Basis)="ibnp",'paid claim lag dump'!L27,'reported claim lag dump'!L27)</f>
        <v>121</v>
      </c>
      <c r="M27" s="209">
        <f>IF(LOWER(Basis)="ibnp",'paid claim lag dump'!M27,'reported claim lag dump'!M27)</f>
        <v>0</v>
      </c>
      <c r="N27" s="209">
        <f>IF(LOWER(Basis)="ibnp",'paid claim lag dump'!N27,'reported claim lag dump'!N27)</f>
        <v>84</v>
      </c>
      <c r="O27" s="209">
        <f>IF(LOWER(Basis)="ibnp",'paid claim lag dump'!O27,'reported claim lag dump'!O27)</f>
        <v>213</v>
      </c>
      <c r="P27" s="209">
        <f>IF(LOWER(Basis)="ibnp",'paid claim lag dump'!P27,'reported claim lag dump'!P27)</f>
        <v>53</v>
      </c>
      <c r="Q27" s="209">
        <f>IF(LOWER(Basis)="ibnp",'paid claim lag dump'!Q27,'reported claim lag dump'!Q27)</f>
        <v>0</v>
      </c>
      <c r="R27" s="209">
        <f>IF(LOWER(Basis)="ibnp",'paid claim lag dump'!R27,'reported claim lag dump'!R27)</f>
        <v>0</v>
      </c>
      <c r="S27" s="209">
        <f>IF(LOWER(Basis)="ibnp",'paid claim lag dump'!S27,'reported claim lag dump'!S27)</f>
        <v>0</v>
      </c>
      <c r="T27" s="209">
        <f>IF(LOWER(Basis)="ibnp",'paid claim lag dump'!T27,'reported claim lag dump'!T27)</f>
        <v>210</v>
      </c>
      <c r="U27" s="209">
        <f>IF(LOWER(Basis)="ibnp",'paid claim lag dump'!U27,'reported claim lag dump'!U27)</f>
        <v>75</v>
      </c>
      <c r="V27" s="209">
        <f>IF(LOWER(Basis)="ibnp",'paid claim lag dump'!V27,'reported claim lag dump'!V27)</f>
        <v>0</v>
      </c>
      <c r="W27" s="209">
        <f>IF(LOWER(Basis)="ibnp",'paid claim lag dump'!W27,'reported claim lag dump'!W27)</f>
        <v>0</v>
      </c>
      <c r="X27" s="209">
        <f>IF(LOWER(Basis)="ibnp",'paid claim lag dump'!X27,'reported claim lag dump'!X27)</f>
        <v>0</v>
      </c>
      <c r="Y27" s="209">
        <f>IF(LOWER(Basis)="ibnp",'paid claim lag dump'!Y27,'reported claim lag dump'!Y27)</f>
        <v>0</v>
      </c>
      <c r="Z27" s="209">
        <f>IF(LOWER(Basis)="ibnp",'paid claim lag dump'!Z27,'reported claim lag dump'!Z27)</f>
        <v>0</v>
      </c>
      <c r="AA27" s="209">
        <f>IF(LOWER(Basis)="ibnp",'paid claim lag dump'!AA27,'reported claim lag dump'!AA27)</f>
        <v>0</v>
      </c>
      <c r="AB27" s="209">
        <f>IF(LOWER(Basis)="ibnp",'paid claim lag dump'!AB27,'reported claim lag dump'!AB27)</f>
        <v>0</v>
      </c>
      <c r="AC27" s="209">
        <f>IF(LOWER(Basis)="ibnp",'paid claim lag dump'!AC27,'reported claim lag dump'!AC27)</f>
        <v>0</v>
      </c>
      <c r="AD27" s="209">
        <f>IF(LOWER(Basis)="ibnp",'paid claim lag dump'!AD27,'reported claim lag dump'!AD27)</f>
        <v>0</v>
      </c>
      <c r="AE27" s="209">
        <f>IF(LOWER(Basis)="ibnp",'paid claim lag dump'!AE27,'reported claim lag dump'!AE27)</f>
        <v>0</v>
      </c>
      <c r="AF27" s="209">
        <f>IF(LOWER(Basis)="ibnp",'paid claim lag dump'!AF27,'reported claim lag dump'!AF27)</f>
        <v>0</v>
      </c>
      <c r="AG27" s="209">
        <f>IF(LOWER(Basis)="ibnp",'paid claim lag dump'!AG27,'reported claim lag dump'!AG27)</f>
        <v>0</v>
      </c>
      <c r="AH27" s="209">
        <f>IF(LOWER(Basis)="ibnp",'paid claim lag dump'!AH27,'reported claim lag dump'!AH27)</f>
        <v>0</v>
      </c>
      <c r="AI27" s="209">
        <f>IF(LOWER(Basis)="ibnp",'paid claim lag dump'!AI27,'reported claim lag dump'!AI27)</f>
        <v>0</v>
      </c>
      <c r="AJ27" s="209">
        <f>IF(LOWER(Basis)="ibnp",'paid claim lag dump'!AJ27,'reported claim lag dump'!AJ27)</f>
        <v>0</v>
      </c>
      <c r="AK27" s="209">
        <f>IF(LOWER(Basis)="ibnp",'paid claim lag dump'!AK27,'reported claim lag dump'!AK27)</f>
        <v>0</v>
      </c>
      <c r="AL27" s="209">
        <f>IF(LOWER(Basis)="ibnp",'paid claim lag dump'!AL27,'reported claim lag dump'!AL27)</f>
        <v>0</v>
      </c>
      <c r="AM27" s="207"/>
    </row>
    <row r="28" spans="1:39" ht="12.75">
      <c r="A28" s="204"/>
      <c r="B28" s="208">
        <f>'general dump'!B28</f>
        <v>36770</v>
      </c>
      <c r="C28" s="209">
        <f>IF(LOWER(Basis)="ibnp",'paid claim lag dump'!C28,'reported claim lag dump'!C28)</f>
        <v>22590</v>
      </c>
      <c r="D28" s="209">
        <f>IF(LOWER(Basis)="ibnp",'paid claim lag dump'!D28,'reported claim lag dump'!D28)</f>
        <v>127706</v>
      </c>
      <c r="E28" s="209">
        <f>IF(LOWER(Basis)="ibnp",'paid claim lag dump'!E28,'reported claim lag dump'!E28)</f>
        <v>52799</v>
      </c>
      <c r="F28" s="209">
        <f>IF(LOWER(Basis)="ibnp",'paid claim lag dump'!F28,'reported claim lag dump'!F28)</f>
        <v>53458</v>
      </c>
      <c r="G28" s="209">
        <f>IF(LOWER(Basis)="ibnp",'paid claim lag dump'!G28,'reported claim lag dump'!G28)</f>
        <v>8807</v>
      </c>
      <c r="H28" s="209">
        <f>IF(LOWER(Basis)="ibnp",'paid claim lag dump'!H28,'reported claim lag dump'!H28)</f>
        <v>2747</v>
      </c>
      <c r="I28" s="209">
        <f>IF(LOWER(Basis)="ibnp",'paid claim lag dump'!I28,'reported claim lag dump'!I28)</f>
        <v>11162</v>
      </c>
      <c r="J28" s="209">
        <f>IF(LOWER(Basis)="ibnp",'paid claim lag dump'!J28,'reported claim lag dump'!J28)</f>
        <v>581</v>
      </c>
      <c r="K28" s="209">
        <f>IF(LOWER(Basis)="ibnp",'paid claim lag dump'!K28,'reported claim lag dump'!K28)</f>
        <v>1025</v>
      </c>
      <c r="L28" s="209">
        <f>IF(LOWER(Basis)="ibnp",'paid claim lag dump'!L28,'reported claim lag dump'!L28)</f>
        <v>0</v>
      </c>
      <c r="M28" s="209">
        <f>IF(LOWER(Basis)="ibnp",'paid claim lag dump'!M28,'reported claim lag dump'!M28)</f>
        <v>0</v>
      </c>
      <c r="N28" s="209">
        <f>IF(LOWER(Basis)="ibnp",'paid claim lag dump'!N28,'reported claim lag dump'!N28)</f>
        <v>84</v>
      </c>
      <c r="O28" s="209">
        <f>IF(LOWER(Basis)="ibnp",'paid claim lag dump'!O28,'reported claim lag dump'!O28)</f>
        <v>213</v>
      </c>
      <c r="P28" s="209">
        <f>IF(LOWER(Basis)="ibnp",'paid claim lag dump'!P28,'reported claim lag dump'!P28)</f>
        <v>53</v>
      </c>
      <c r="Q28" s="209">
        <f>IF(LOWER(Basis)="ibnp",'paid claim lag dump'!Q28,'reported claim lag dump'!Q28)</f>
        <v>0</v>
      </c>
      <c r="R28" s="209">
        <f>IF(LOWER(Basis)="ibnp",'paid claim lag dump'!R28,'reported claim lag dump'!R28)</f>
        <v>0</v>
      </c>
      <c r="S28" s="209">
        <f>IF(LOWER(Basis)="ibnp",'paid claim lag dump'!S28,'reported claim lag dump'!S28)</f>
        <v>210</v>
      </c>
      <c r="T28" s="209">
        <f>IF(LOWER(Basis)="ibnp",'paid claim lag dump'!T28,'reported claim lag dump'!T28)</f>
        <v>0</v>
      </c>
      <c r="U28" s="209">
        <f>IF(LOWER(Basis)="ibnp",'paid claim lag dump'!U28,'reported claim lag dump'!U28)</f>
        <v>75</v>
      </c>
      <c r="V28" s="209">
        <f>IF(LOWER(Basis)="ibnp",'paid claim lag dump'!V28,'reported claim lag dump'!V28)</f>
        <v>0</v>
      </c>
      <c r="W28" s="209">
        <f>IF(LOWER(Basis)="ibnp",'paid claim lag dump'!W28,'reported claim lag dump'!W28)</f>
        <v>0</v>
      </c>
      <c r="X28" s="209">
        <f>IF(LOWER(Basis)="ibnp",'paid claim lag dump'!X28,'reported claim lag dump'!X28)</f>
        <v>0</v>
      </c>
      <c r="Y28" s="209">
        <f>IF(LOWER(Basis)="ibnp",'paid claim lag dump'!Y28,'reported claim lag dump'!Y28)</f>
        <v>0</v>
      </c>
      <c r="Z28" s="209">
        <f>IF(LOWER(Basis)="ibnp",'paid claim lag dump'!Z28,'reported claim lag dump'!Z28)</f>
        <v>0</v>
      </c>
      <c r="AA28" s="209">
        <f>IF(LOWER(Basis)="ibnp",'paid claim lag dump'!AA28,'reported claim lag dump'!AA28)</f>
        <v>0</v>
      </c>
      <c r="AB28" s="209">
        <f>IF(LOWER(Basis)="ibnp",'paid claim lag dump'!AB28,'reported claim lag dump'!AB28)</f>
        <v>0</v>
      </c>
      <c r="AC28" s="209">
        <f>IF(LOWER(Basis)="ibnp",'paid claim lag dump'!AC28,'reported claim lag dump'!AC28)</f>
        <v>0</v>
      </c>
      <c r="AD28" s="209">
        <f>IF(LOWER(Basis)="ibnp",'paid claim lag dump'!AD28,'reported claim lag dump'!AD28)</f>
        <v>0</v>
      </c>
      <c r="AE28" s="209">
        <f>IF(LOWER(Basis)="ibnp",'paid claim lag dump'!AE28,'reported claim lag dump'!AE28)</f>
        <v>0</v>
      </c>
      <c r="AF28" s="209">
        <f>IF(LOWER(Basis)="ibnp",'paid claim lag dump'!AF28,'reported claim lag dump'!AF28)</f>
        <v>0</v>
      </c>
      <c r="AG28" s="209">
        <f>IF(LOWER(Basis)="ibnp",'paid claim lag dump'!AG28,'reported claim lag dump'!AG28)</f>
        <v>0</v>
      </c>
      <c r="AH28" s="209">
        <f>IF(LOWER(Basis)="ibnp",'paid claim lag dump'!AH28,'reported claim lag dump'!AH28)</f>
        <v>0</v>
      </c>
      <c r="AI28" s="209">
        <f>IF(LOWER(Basis)="ibnp",'paid claim lag dump'!AI28,'reported claim lag dump'!AI28)</f>
        <v>0</v>
      </c>
      <c r="AJ28" s="209">
        <f>IF(LOWER(Basis)="ibnp",'paid claim lag dump'!AJ28,'reported claim lag dump'!AJ28)</f>
        <v>0</v>
      </c>
      <c r="AK28" s="209">
        <f>IF(LOWER(Basis)="ibnp",'paid claim lag dump'!AK28,'reported claim lag dump'!AK28)</f>
        <v>0</v>
      </c>
      <c r="AL28" s="209">
        <f>IF(LOWER(Basis)="ibnp",'paid claim lag dump'!AL28,'reported claim lag dump'!AL28)</f>
        <v>0</v>
      </c>
      <c r="AM28" s="207"/>
    </row>
    <row r="29" spans="1:39" ht="12.75">
      <c r="A29" s="204"/>
      <c r="B29" s="208">
        <f>'general dump'!B29</f>
        <v>36800</v>
      </c>
      <c r="C29" s="209">
        <f>IF(LOWER(Basis)="ibnp",'paid claim lag dump'!C29,'reported claim lag dump'!C29)</f>
        <v>2217</v>
      </c>
      <c r="D29" s="209">
        <f>IF(LOWER(Basis)="ibnp",'paid claim lag dump'!D29,'reported claim lag dump'!D29)</f>
        <v>50074</v>
      </c>
      <c r="E29" s="209">
        <f>IF(LOWER(Basis)="ibnp",'paid claim lag dump'!E29,'reported claim lag dump'!E29)</f>
        <v>38342</v>
      </c>
      <c r="F29" s="209">
        <f>IF(LOWER(Basis)="ibnp",'paid claim lag dump'!F29,'reported claim lag dump'!F29)</f>
        <v>59896</v>
      </c>
      <c r="G29" s="209">
        <f>IF(LOWER(Basis)="ibnp",'paid claim lag dump'!G29,'reported claim lag dump'!G29)</f>
        <v>12140</v>
      </c>
      <c r="H29" s="209">
        <f>IF(LOWER(Basis)="ibnp",'paid claim lag dump'!H29,'reported claim lag dump'!H29)</f>
        <v>3146</v>
      </c>
      <c r="I29" s="209">
        <f>IF(LOWER(Basis)="ibnp",'paid claim lag dump'!I29,'reported claim lag dump'!I29)</f>
        <v>1154</v>
      </c>
      <c r="J29" s="209">
        <f>IF(LOWER(Basis)="ibnp",'paid claim lag dump'!J29,'reported claim lag dump'!J29)</f>
        <v>9723</v>
      </c>
      <c r="K29" s="209">
        <f>IF(LOWER(Basis)="ibnp",'paid claim lag dump'!K29,'reported claim lag dump'!K29)</f>
        <v>403</v>
      </c>
      <c r="L29" s="209">
        <f>IF(LOWER(Basis)="ibnp",'paid claim lag dump'!L29,'reported claim lag dump'!L29)</f>
        <v>0</v>
      </c>
      <c r="M29" s="209">
        <f>IF(LOWER(Basis)="ibnp",'paid claim lag dump'!M29,'reported claim lag dump'!M29)</f>
        <v>1132</v>
      </c>
      <c r="N29" s="209">
        <f>IF(LOWER(Basis)="ibnp",'paid claim lag dump'!N29,'reported claim lag dump'!N29)</f>
        <v>177</v>
      </c>
      <c r="O29" s="209">
        <f>IF(LOWER(Basis)="ibnp",'paid claim lag dump'!O29,'reported claim lag dump'!O29)</f>
        <v>160</v>
      </c>
      <c r="P29" s="209">
        <f>IF(LOWER(Basis)="ibnp",'paid claim lag dump'!P29,'reported claim lag dump'!P29)</f>
        <v>3268</v>
      </c>
      <c r="Q29" s="209">
        <f>IF(LOWER(Basis)="ibnp",'paid claim lag dump'!Q29,'reported claim lag dump'!Q29)</f>
        <v>288</v>
      </c>
      <c r="R29" s="209">
        <f>IF(LOWER(Basis)="ibnp",'paid claim lag dump'!R29,'reported claim lag dump'!R29)</f>
        <v>398</v>
      </c>
      <c r="S29" s="209">
        <f>IF(LOWER(Basis)="ibnp",'paid claim lag dump'!S29,'reported claim lag dump'!S29)</f>
        <v>57</v>
      </c>
      <c r="T29" s="209">
        <f>IF(LOWER(Basis)="ibnp",'paid claim lag dump'!T29,'reported claim lag dump'!T29)</f>
        <v>734</v>
      </c>
      <c r="U29" s="209">
        <f>IF(LOWER(Basis)="ibnp",'paid claim lag dump'!U29,'reported claim lag dump'!U29)</f>
        <v>0</v>
      </c>
      <c r="V29" s="209">
        <f>IF(LOWER(Basis)="ibnp",'paid claim lag dump'!V29,'reported claim lag dump'!V29)</f>
        <v>0</v>
      </c>
      <c r="W29" s="209">
        <f>IF(LOWER(Basis)="ibnp",'paid claim lag dump'!W29,'reported claim lag dump'!W29)</f>
        <v>0</v>
      </c>
      <c r="X29" s="209">
        <f>IF(LOWER(Basis)="ibnp",'paid claim lag dump'!X29,'reported claim lag dump'!X29)</f>
        <v>0</v>
      </c>
      <c r="Y29" s="209">
        <f>IF(LOWER(Basis)="ibnp",'paid claim lag dump'!Y29,'reported claim lag dump'!Y29)</f>
        <v>0</v>
      </c>
      <c r="Z29" s="209">
        <f>IF(LOWER(Basis)="ibnp",'paid claim lag dump'!Z29,'reported claim lag dump'!Z29)</f>
        <v>0</v>
      </c>
      <c r="AA29" s="209">
        <f>IF(LOWER(Basis)="ibnp",'paid claim lag dump'!AA29,'reported claim lag dump'!AA29)</f>
        <v>0</v>
      </c>
      <c r="AB29" s="209">
        <f>IF(LOWER(Basis)="ibnp",'paid claim lag dump'!AB29,'reported claim lag dump'!AB29)</f>
        <v>0</v>
      </c>
      <c r="AC29" s="209">
        <f>IF(LOWER(Basis)="ibnp",'paid claim lag dump'!AC29,'reported claim lag dump'!AC29)</f>
        <v>0</v>
      </c>
      <c r="AD29" s="209">
        <f>IF(LOWER(Basis)="ibnp",'paid claim lag dump'!AD29,'reported claim lag dump'!AD29)</f>
        <v>0</v>
      </c>
      <c r="AE29" s="209">
        <f>IF(LOWER(Basis)="ibnp",'paid claim lag dump'!AE29,'reported claim lag dump'!AE29)</f>
        <v>0</v>
      </c>
      <c r="AF29" s="209">
        <f>IF(LOWER(Basis)="ibnp",'paid claim lag dump'!AF29,'reported claim lag dump'!AF29)</f>
        <v>0</v>
      </c>
      <c r="AG29" s="209">
        <f>IF(LOWER(Basis)="ibnp",'paid claim lag dump'!AG29,'reported claim lag dump'!AG29)</f>
        <v>0</v>
      </c>
      <c r="AH29" s="209">
        <f>IF(LOWER(Basis)="ibnp",'paid claim lag dump'!AH29,'reported claim lag dump'!AH29)</f>
        <v>0</v>
      </c>
      <c r="AI29" s="209">
        <f>IF(LOWER(Basis)="ibnp",'paid claim lag dump'!AI29,'reported claim lag dump'!AI29)</f>
        <v>0</v>
      </c>
      <c r="AJ29" s="209">
        <f>IF(LOWER(Basis)="ibnp",'paid claim lag dump'!AJ29,'reported claim lag dump'!AJ29)</f>
        <v>0</v>
      </c>
      <c r="AK29" s="209">
        <f>IF(LOWER(Basis)="ibnp",'paid claim lag dump'!AK29,'reported claim lag dump'!AK29)</f>
        <v>0</v>
      </c>
      <c r="AL29" s="209">
        <f>IF(LOWER(Basis)="ibnp",'paid claim lag dump'!AL29,'reported claim lag dump'!AL29)</f>
        <v>0</v>
      </c>
      <c r="AM29" s="207"/>
    </row>
    <row r="30" spans="1:39" ht="12.75">
      <c r="A30" s="204"/>
      <c r="B30" s="208">
        <f>'general dump'!B30</f>
        <v>36831</v>
      </c>
      <c r="C30" s="209">
        <f>IF(LOWER(Basis)="ibnp",'paid claim lag dump'!C30,'reported claim lag dump'!C30)</f>
        <v>19627</v>
      </c>
      <c r="D30" s="209">
        <f>IF(LOWER(Basis)="ibnp",'paid claim lag dump'!D30,'reported claim lag dump'!D30)</f>
        <v>78051</v>
      </c>
      <c r="E30" s="209">
        <f>IF(LOWER(Basis)="ibnp",'paid claim lag dump'!E30,'reported claim lag dump'!E30)</f>
        <v>32446</v>
      </c>
      <c r="F30" s="209">
        <f>IF(LOWER(Basis)="ibnp",'paid claim lag dump'!F30,'reported claim lag dump'!F30)</f>
        <v>30039</v>
      </c>
      <c r="G30" s="209">
        <f>IF(LOWER(Basis)="ibnp",'paid claim lag dump'!G30,'reported claim lag dump'!G30)</f>
        <v>3104</v>
      </c>
      <c r="H30" s="209">
        <f>IF(LOWER(Basis)="ibnp",'paid claim lag dump'!H30,'reported claim lag dump'!H30)</f>
        <v>8621</v>
      </c>
      <c r="I30" s="209">
        <f>IF(LOWER(Basis)="ibnp",'paid claim lag dump'!I30,'reported claim lag dump'!I30)</f>
        <v>1405</v>
      </c>
      <c r="J30" s="209">
        <f>IF(LOWER(Basis)="ibnp",'paid claim lag dump'!J30,'reported claim lag dump'!J30)</f>
        <v>3535</v>
      </c>
      <c r="K30" s="209">
        <f>IF(LOWER(Basis)="ibnp",'paid claim lag dump'!K30,'reported claim lag dump'!K30)</f>
        <v>707</v>
      </c>
      <c r="L30" s="209">
        <f>IF(LOWER(Basis)="ibnp",'paid claim lag dump'!L30,'reported claim lag dump'!L30)</f>
        <v>57</v>
      </c>
      <c r="M30" s="209">
        <f>IF(LOWER(Basis)="ibnp",'paid claim lag dump'!M30,'reported claim lag dump'!M30)</f>
        <v>692</v>
      </c>
      <c r="N30" s="209">
        <f>IF(LOWER(Basis)="ibnp",'paid claim lag dump'!N30,'reported claim lag dump'!N30)</f>
        <v>229</v>
      </c>
      <c r="O30" s="209">
        <f>IF(LOWER(Basis)="ibnp",'paid claim lag dump'!O30,'reported claim lag dump'!O30)</f>
        <v>3279</v>
      </c>
      <c r="P30" s="209">
        <f>IF(LOWER(Basis)="ibnp",'paid claim lag dump'!P30,'reported claim lag dump'!P30)</f>
        <v>40</v>
      </c>
      <c r="Q30" s="209">
        <f>IF(LOWER(Basis)="ibnp",'paid claim lag dump'!Q30,'reported claim lag dump'!Q30)</f>
        <v>328</v>
      </c>
      <c r="R30" s="209">
        <f>IF(LOWER(Basis)="ibnp",'paid claim lag dump'!R30,'reported claim lag dump'!R30)</f>
        <v>415</v>
      </c>
      <c r="S30" s="209">
        <f>IF(LOWER(Basis)="ibnp",'paid claim lag dump'!S30,'reported claim lag dump'!S30)</f>
        <v>0</v>
      </c>
      <c r="T30" s="209">
        <f>IF(LOWER(Basis)="ibnp",'paid claim lag dump'!T30,'reported claim lag dump'!T30)</f>
        <v>734</v>
      </c>
      <c r="U30" s="209">
        <f>IF(LOWER(Basis)="ibnp",'paid claim lag dump'!U30,'reported claim lag dump'!U30)</f>
        <v>0</v>
      </c>
      <c r="V30" s="209">
        <f>IF(LOWER(Basis)="ibnp",'paid claim lag dump'!V30,'reported claim lag dump'!V30)</f>
        <v>0</v>
      </c>
      <c r="W30" s="209">
        <f>IF(LOWER(Basis)="ibnp",'paid claim lag dump'!W30,'reported claim lag dump'!W30)</f>
        <v>0</v>
      </c>
      <c r="X30" s="209">
        <f>IF(LOWER(Basis)="ibnp",'paid claim lag dump'!X30,'reported claim lag dump'!X30)</f>
        <v>0</v>
      </c>
      <c r="Y30" s="209">
        <f>IF(LOWER(Basis)="ibnp",'paid claim lag dump'!Y30,'reported claim lag dump'!Y30)</f>
        <v>0</v>
      </c>
      <c r="Z30" s="209">
        <f>IF(LOWER(Basis)="ibnp",'paid claim lag dump'!Z30,'reported claim lag dump'!Z30)</f>
        <v>0</v>
      </c>
      <c r="AA30" s="209">
        <f>IF(LOWER(Basis)="ibnp",'paid claim lag dump'!AA30,'reported claim lag dump'!AA30)</f>
        <v>0</v>
      </c>
      <c r="AB30" s="209">
        <f>IF(LOWER(Basis)="ibnp",'paid claim lag dump'!AB30,'reported claim lag dump'!AB30)</f>
        <v>0</v>
      </c>
      <c r="AC30" s="209">
        <f>IF(LOWER(Basis)="ibnp",'paid claim lag dump'!AC30,'reported claim lag dump'!AC30)</f>
        <v>0</v>
      </c>
      <c r="AD30" s="209">
        <f>IF(LOWER(Basis)="ibnp",'paid claim lag dump'!AD30,'reported claim lag dump'!AD30)</f>
        <v>0</v>
      </c>
      <c r="AE30" s="209">
        <f>IF(LOWER(Basis)="ibnp",'paid claim lag dump'!AE30,'reported claim lag dump'!AE30)</f>
        <v>0</v>
      </c>
      <c r="AF30" s="209">
        <f>IF(LOWER(Basis)="ibnp",'paid claim lag dump'!AF30,'reported claim lag dump'!AF30)</f>
        <v>0</v>
      </c>
      <c r="AG30" s="209">
        <f>IF(LOWER(Basis)="ibnp",'paid claim lag dump'!AG30,'reported claim lag dump'!AG30)</f>
        <v>0</v>
      </c>
      <c r="AH30" s="209">
        <f>IF(LOWER(Basis)="ibnp",'paid claim lag dump'!AH30,'reported claim lag dump'!AH30)</f>
        <v>0</v>
      </c>
      <c r="AI30" s="209">
        <f>IF(LOWER(Basis)="ibnp",'paid claim lag dump'!AI30,'reported claim lag dump'!AI30)</f>
        <v>0</v>
      </c>
      <c r="AJ30" s="209">
        <f>IF(LOWER(Basis)="ibnp",'paid claim lag dump'!AJ30,'reported claim lag dump'!AJ30)</f>
        <v>0</v>
      </c>
      <c r="AK30" s="209">
        <f>IF(LOWER(Basis)="ibnp",'paid claim lag dump'!AK30,'reported claim lag dump'!AK30)</f>
        <v>0</v>
      </c>
      <c r="AL30" s="209">
        <f>IF(LOWER(Basis)="ibnp",'paid claim lag dump'!AL30,'reported claim lag dump'!AL30)</f>
        <v>0</v>
      </c>
      <c r="AM30" s="207"/>
    </row>
    <row r="31" spans="1:39" ht="12.75">
      <c r="A31" s="204"/>
      <c r="B31" s="208">
        <f>'general dump'!B31</f>
        <v>36861</v>
      </c>
      <c r="C31" s="209">
        <f>IF(LOWER(Basis)="ibnp",'paid claim lag dump'!C31,'reported claim lag dump'!C31)</f>
        <v>5402</v>
      </c>
      <c r="D31" s="209">
        <f>IF(LOWER(Basis)="ibnp",'paid claim lag dump'!D31,'reported claim lag dump'!D31)</f>
        <v>16943</v>
      </c>
      <c r="E31" s="209">
        <f>IF(LOWER(Basis)="ibnp",'paid claim lag dump'!E31,'reported claim lag dump'!E31)</f>
        <v>34607</v>
      </c>
      <c r="F31" s="209">
        <f>IF(LOWER(Basis)="ibnp",'paid claim lag dump'!F31,'reported claim lag dump'!F31)</f>
        <v>6988</v>
      </c>
      <c r="G31" s="209">
        <f>IF(LOWER(Basis)="ibnp",'paid claim lag dump'!G31,'reported claim lag dump'!G31)</f>
        <v>3602</v>
      </c>
      <c r="H31" s="209">
        <f>IF(LOWER(Basis)="ibnp",'paid claim lag dump'!H31,'reported claim lag dump'!H31)</f>
        <v>2116</v>
      </c>
      <c r="I31" s="209">
        <f>IF(LOWER(Basis)="ibnp",'paid claim lag dump'!I31,'reported claim lag dump'!I31)</f>
        <v>7375</v>
      </c>
      <c r="J31" s="209">
        <f>IF(LOWER(Basis)="ibnp",'paid claim lag dump'!J31,'reported claim lag dump'!J31)</f>
        <v>474</v>
      </c>
      <c r="K31" s="209">
        <f>IF(LOWER(Basis)="ibnp",'paid claim lag dump'!K31,'reported claim lag dump'!K31)</f>
        <v>3162</v>
      </c>
      <c r="L31" s="209">
        <f>IF(LOWER(Basis)="ibnp",'paid claim lag dump'!L31,'reported claim lag dump'!L31)</f>
        <v>1388</v>
      </c>
      <c r="M31" s="209">
        <f>IF(LOWER(Basis)="ibnp",'paid claim lag dump'!M31,'reported claim lag dump'!M31)</f>
        <v>160</v>
      </c>
      <c r="N31" s="209">
        <f>IF(LOWER(Basis)="ibnp",'paid claim lag dump'!N31,'reported claim lag dump'!N31)</f>
        <v>284</v>
      </c>
      <c r="O31" s="209">
        <f>IF(LOWER(Basis)="ibnp",'paid claim lag dump'!O31,'reported claim lag dump'!O31)</f>
        <v>406</v>
      </c>
      <c r="P31" s="209">
        <f>IF(LOWER(Basis)="ibnp",'paid claim lag dump'!P31,'reported claim lag dump'!P31)</f>
        <v>788</v>
      </c>
      <c r="Q31" s="209">
        <f>IF(LOWER(Basis)="ibnp",'paid claim lag dump'!Q31,'reported claim lag dump'!Q31)</f>
        <v>0</v>
      </c>
      <c r="R31" s="209">
        <f>IF(LOWER(Basis)="ibnp",'paid claim lag dump'!R31,'reported claim lag dump'!R31)</f>
        <v>0</v>
      </c>
      <c r="S31" s="209">
        <f>IF(LOWER(Basis)="ibnp",'paid claim lag dump'!S31,'reported claim lag dump'!S31)</f>
        <v>0</v>
      </c>
      <c r="T31" s="209">
        <f>IF(LOWER(Basis)="ibnp",'paid claim lag dump'!T31,'reported claim lag dump'!T31)</f>
        <v>0</v>
      </c>
      <c r="U31" s="209">
        <f>IF(LOWER(Basis)="ibnp",'paid claim lag dump'!U31,'reported claim lag dump'!U31)</f>
        <v>0</v>
      </c>
      <c r="V31" s="209">
        <f>IF(LOWER(Basis)="ibnp",'paid claim lag dump'!V31,'reported claim lag dump'!V31)</f>
        <v>0</v>
      </c>
      <c r="W31" s="209">
        <f>IF(LOWER(Basis)="ibnp",'paid claim lag dump'!W31,'reported claim lag dump'!W31)</f>
        <v>0</v>
      </c>
      <c r="X31" s="209">
        <f>IF(LOWER(Basis)="ibnp",'paid claim lag dump'!X31,'reported claim lag dump'!X31)</f>
        <v>0</v>
      </c>
      <c r="Y31" s="209">
        <f>IF(LOWER(Basis)="ibnp",'paid claim lag dump'!Y31,'reported claim lag dump'!Y31)</f>
        <v>0</v>
      </c>
      <c r="Z31" s="209">
        <f>IF(LOWER(Basis)="ibnp",'paid claim lag dump'!Z31,'reported claim lag dump'!Z31)</f>
        <v>0</v>
      </c>
      <c r="AA31" s="209">
        <f>IF(LOWER(Basis)="ibnp",'paid claim lag dump'!AA31,'reported claim lag dump'!AA31)</f>
        <v>0</v>
      </c>
      <c r="AB31" s="209">
        <f>IF(LOWER(Basis)="ibnp",'paid claim lag dump'!AB31,'reported claim lag dump'!AB31)</f>
        <v>0</v>
      </c>
      <c r="AC31" s="209">
        <f>IF(LOWER(Basis)="ibnp",'paid claim lag dump'!AC31,'reported claim lag dump'!AC31)</f>
        <v>0</v>
      </c>
      <c r="AD31" s="209">
        <f>IF(LOWER(Basis)="ibnp",'paid claim lag dump'!AD31,'reported claim lag dump'!AD31)</f>
        <v>0</v>
      </c>
      <c r="AE31" s="209">
        <f>IF(LOWER(Basis)="ibnp",'paid claim lag dump'!AE31,'reported claim lag dump'!AE31)</f>
        <v>0</v>
      </c>
      <c r="AF31" s="209">
        <f>IF(LOWER(Basis)="ibnp",'paid claim lag dump'!AF31,'reported claim lag dump'!AF31)</f>
        <v>0</v>
      </c>
      <c r="AG31" s="209">
        <f>IF(LOWER(Basis)="ibnp",'paid claim lag dump'!AG31,'reported claim lag dump'!AG31)</f>
        <v>0</v>
      </c>
      <c r="AH31" s="209">
        <f>IF(LOWER(Basis)="ibnp",'paid claim lag dump'!AH31,'reported claim lag dump'!AH31)</f>
        <v>0</v>
      </c>
      <c r="AI31" s="209">
        <f>IF(LOWER(Basis)="ibnp",'paid claim lag dump'!AI31,'reported claim lag dump'!AI31)</f>
        <v>0</v>
      </c>
      <c r="AJ31" s="209">
        <f>IF(LOWER(Basis)="ibnp",'paid claim lag dump'!AJ31,'reported claim lag dump'!AJ31)</f>
        <v>0</v>
      </c>
      <c r="AK31" s="209">
        <f>IF(LOWER(Basis)="ibnp",'paid claim lag dump'!AK31,'reported claim lag dump'!AK31)</f>
        <v>0</v>
      </c>
      <c r="AL31" s="209">
        <f>IF(LOWER(Basis)="ibnp",'paid claim lag dump'!AL31,'reported claim lag dump'!AL31)</f>
        <v>0</v>
      </c>
      <c r="AM31" s="207"/>
    </row>
    <row r="32" spans="1:39" ht="12.75">
      <c r="A32" s="204"/>
      <c r="B32" s="208">
        <f>'general dump'!B32</f>
        <v>36892</v>
      </c>
      <c r="C32" s="209">
        <f>IF(LOWER(Basis)="ibnp",'paid claim lag dump'!C32,'reported claim lag dump'!C32)</f>
        <v>15456</v>
      </c>
      <c r="D32" s="209">
        <f>IF(LOWER(Basis)="ibnp",'paid claim lag dump'!D32,'reported claim lag dump'!D32)</f>
        <v>19047</v>
      </c>
      <c r="E32" s="209">
        <f>IF(LOWER(Basis)="ibnp",'paid claim lag dump'!E32,'reported claim lag dump'!E32)</f>
        <v>26813</v>
      </c>
      <c r="F32" s="209">
        <f>IF(LOWER(Basis)="ibnp",'paid claim lag dump'!F32,'reported claim lag dump'!F32)</f>
        <v>7995</v>
      </c>
      <c r="G32" s="209">
        <f>IF(LOWER(Basis)="ibnp",'paid claim lag dump'!G32,'reported claim lag dump'!G32)</f>
        <v>520</v>
      </c>
      <c r="H32" s="209">
        <f>IF(LOWER(Basis)="ibnp",'paid claim lag dump'!H32,'reported claim lag dump'!H32)</f>
        <v>1792</v>
      </c>
      <c r="I32" s="209">
        <f>IF(LOWER(Basis)="ibnp",'paid claim lag dump'!I32,'reported claim lag dump'!I32)</f>
        <v>5685</v>
      </c>
      <c r="J32" s="209">
        <f>IF(LOWER(Basis)="ibnp",'paid claim lag dump'!J32,'reported claim lag dump'!J32)</f>
        <v>405</v>
      </c>
      <c r="K32" s="209">
        <f>IF(LOWER(Basis)="ibnp",'paid claim lag dump'!K32,'reported claim lag dump'!K32)</f>
        <v>4138</v>
      </c>
      <c r="L32" s="209">
        <f>IF(LOWER(Basis)="ibnp",'paid claim lag dump'!L32,'reported claim lag dump'!L32)</f>
        <v>206</v>
      </c>
      <c r="M32" s="209">
        <f>IF(LOWER(Basis)="ibnp",'paid claim lag dump'!M32,'reported claim lag dump'!M32)</f>
        <v>360</v>
      </c>
      <c r="N32" s="209">
        <f>IF(LOWER(Basis)="ibnp",'paid claim lag dump'!N32,'reported claim lag dump'!N32)</f>
        <v>188</v>
      </c>
      <c r="O32" s="209">
        <f>IF(LOWER(Basis)="ibnp",'paid claim lag dump'!O32,'reported claim lag dump'!O32)</f>
        <v>302</v>
      </c>
      <c r="P32" s="209">
        <f>IF(LOWER(Basis)="ibnp",'paid claim lag dump'!P32,'reported claim lag dump'!P32)</f>
        <v>788</v>
      </c>
      <c r="Q32" s="209">
        <f>IF(LOWER(Basis)="ibnp",'paid claim lag dump'!Q32,'reported claim lag dump'!Q32)</f>
        <v>0</v>
      </c>
      <c r="R32" s="209">
        <f>IF(LOWER(Basis)="ibnp",'paid claim lag dump'!R32,'reported claim lag dump'!R32)</f>
        <v>0</v>
      </c>
      <c r="S32" s="209">
        <f>IF(LOWER(Basis)="ibnp",'paid claim lag dump'!S32,'reported claim lag dump'!S32)</f>
        <v>0</v>
      </c>
      <c r="T32" s="209">
        <f>IF(LOWER(Basis)="ibnp",'paid claim lag dump'!T32,'reported claim lag dump'!T32)</f>
        <v>0</v>
      </c>
      <c r="U32" s="209">
        <f>IF(LOWER(Basis)="ibnp",'paid claim lag dump'!U32,'reported claim lag dump'!U32)</f>
        <v>0</v>
      </c>
      <c r="V32" s="209">
        <f>IF(LOWER(Basis)="ibnp",'paid claim lag dump'!V32,'reported claim lag dump'!V32)</f>
        <v>0</v>
      </c>
      <c r="W32" s="209">
        <f>IF(LOWER(Basis)="ibnp",'paid claim lag dump'!W32,'reported claim lag dump'!W32)</f>
        <v>0</v>
      </c>
      <c r="X32" s="209">
        <f>IF(LOWER(Basis)="ibnp",'paid claim lag dump'!X32,'reported claim lag dump'!X32)</f>
        <v>0</v>
      </c>
      <c r="Y32" s="209">
        <f>IF(LOWER(Basis)="ibnp",'paid claim lag dump'!Y32,'reported claim lag dump'!Y32)</f>
        <v>0</v>
      </c>
      <c r="Z32" s="209">
        <f>IF(LOWER(Basis)="ibnp",'paid claim lag dump'!Z32,'reported claim lag dump'!Z32)</f>
        <v>0</v>
      </c>
      <c r="AA32" s="209">
        <f>IF(LOWER(Basis)="ibnp",'paid claim lag dump'!AA32,'reported claim lag dump'!AA32)</f>
        <v>0</v>
      </c>
      <c r="AB32" s="209">
        <f>IF(LOWER(Basis)="ibnp",'paid claim lag dump'!AB32,'reported claim lag dump'!AB32)</f>
        <v>0</v>
      </c>
      <c r="AC32" s="209">
        <f>IF(LOWER(Basis)="ibnp",'paid claim lag dump'!AC32,'reported claim lag dump'!AC32)</f>
        <v>0</v>
      </c>
      <c r="AD32" s="209">
        <f>IF(LOWER(Basis)="ibnp",'paid claim lag dump'!AD32,'reported claim lag dump'!AD32)</f>
        <v>0</v>
      </c>
      <c r="AE32" s="209">
        <f>IF(LOWER(Basis)="ibnp",'paid claim lag dump'!AE32,'reported claim lag dump'!AE32)</f>
        <v>0</v>
      </c>
      <c r="AF32" s="209">
        <f>IF(LOWER(Basis)="ibnp",'paid claim lag dump'!AF32,'reported claim lag dump'!AF32)</f>
        <v>0</v>
      </c>
      <c r="AG32" s="209">
        <f>IF(LOWER(Basis)="ibnp",'paid claim lag dump'!AG32,'reported claim lag dump'!AG32)</f>
        <v>0</v>
      </c>
      <c r="AH32" s="209">
        <f>IF(LOWER(Basis)="ibnp",'paid claim lag dump'!AH32,'reported claim lag dump'!AH32)</f>
        <v>0</v>
      </c>
      <c r="AI32" s="209">
        <f>IF(LOWER(Basis)="ibnp",'paid claim lag dump'!AI32,'reported claim lag dump'!AI32)</f>
        <v>0</v>
      </c>
      <c r="AJ32" s="209">
        <f>IF(LOWER(Basis)="ibnp",'paid claim lag dump'!AJ32,'reported claim lag dump'!AJ32)</f>
        <v>0</v>
      </c>
      <c r="AK32" s="209">
        <f>IF(LOWER(Basis)="ibnp",'paid claim lag dump'!AK32,'reported claim lag dump'!AK32)</f>
        <v>0</v>
      </c>
      <c r="AL32" s="209">
        <f>IF(LOWER(Basis)="ibnp",'paid claim lag dump'!AL32,'reported claim lag dump'!AL32)</f>
        <v>0</v>
      </c>
      <c r="AM32" s="207"/>
    </row>
    <row r="33" spans="1:39" ht="12.75">
      <c r="A33" s="204"/>
      <c r="B33" s="208">
        <f>'general dump'!B33</f>
        <v>36923</v>
      </c>
      <c r="C33" s="209">
        <f>IF(LOWER(Basis)="ibnp",'paid claim lag dump'!C33,'reported claim lag dump'!C33)</f>
        <v>544</v>
      </c>
      <c r="D33" s="209">
        <f>IF(LOWER(Basis)="ibnp",'paid claim lag dump'!D33,'reported claim lag dump'!D33)</f>
        <v>16998</v>
      </c>
      <c r="E33" s="209">
        <f>IF(LOWER(Basis)="ibnp",'paid claim lag dump'!E33,'reported claim lag dump'!E33)</f>
        <v>37793</v>
      </c>
      <c r="F33" s="209">
        <f>IF(LOWER(Basis)="ibnp",'paid claim lag dump'!F33,'reported claim lag dump'!F33)</f>
        <v>49731</v>
      </c>
      <c r="G33" s="209">
        <f>IF(LOWER(Basis)="ibnp",'paid claim lag dump'!G33,'reported claim lag dump'!G33)</f>
        <v>28448</v>
      </c>
      <c r="H33" s="209">
        <f>IF(LOWER(Basis)="ibnp",'paid claim lag dump'!H33,'reported claim lag dump'!H33)</f>
        <v>2175</v>
      </c>
      <c r="I33" s="209">
        <f>IF(LOWER(Basis)="ibnp",'paid claim lag dump'!I33,'reported claim lag dump'!I33)</f>
        <v>1814</v>
      </c>
      <c r="J33" s="209">
        <f>IF(LOWER(Basis)="ibnp",'paid claim lag dump'!J33,'reported claim lag dump'!J33)</f>
        <v>333</v>
      </c>
      <c r="K33" s="209">
        <f>IF(LOWER(Basis)="ibnp",'paid claim lag dump'!K33,'reported claim lag dump'!K33)</f>
        <v>718</v>
      </c>
      <c r="L33" s="209">
        <f>IF(LOWER(Basis)="ibnp",'paid claim lag dump'!L33,'reported claim lag dump'!L33)</f>
        <v>1341</v>
      </c>
      <c r="M33" s="209">
        <f>IF(LOWER(Basis)="ibnp",'paid claim lag dump'!M33,'reported claim lag dump'!M33)</f>
        <v>64</v>
      </c>
      <c r="N33" s="209">
        <f>IF(LOWER(Basis)="ibnp",'paid claim lag dump'!N33,'reported claim lag dump'!N33)</f>
        <v>28</v>
      </c>
      <c r="O33" s="209">
        <f>IF(LOWER(Basis)="ibnp",'paid claim lag dump'!O33,'reported claim lag dump'!O33)</f>
        <v>0</v>
      </c>
      <c r="P33" s="209">
        <f>IF(LOWER(Basis)="ibnp",'paid claim lag dump'!P33,'reported claim lag dump'!P33)</f>
        <v>0</v>
      </c>
      <c r="Q33" s="209">
        <f>IF(LOWER(Basis)="ibnp",'paid claim lag dump'!Q33,'reported claim lag dump'!Q33)</f>
        <v>256</v>
      </c>
      <c r="R33" s="209">
        <f>IF(LOWER(Basis)="ibnp",'paid claim lag dump'!R33,'reported claim lag dump'!R33)</f>
        <v>108</v>
      </c>
      <c r="S33" s="209">
        <f>IF(LOWER(Basis)="ibnp",'paid claim lag dump'!S33,'reported claim lag dump'!S33)</f>
        <v>70</v>
      </c>
      <c r="T33" s="209">
        <f>IF(LOWER(Basis)="ibnp",'paid claim lag dump'!T33,'reported claim lag dump'!T33)</f>
        <v>0</v>
      </c>
      <c r="U33" s="209">
        <f>IF(LOWER(Basis)="ibnp",'paid claim lag dump'!U33,'reported claim lag dump'!U33)</f>
        <v>0</v>
      </c>
      <c r="V33" s="209">
        <f>IF(LOWER(Basis)="ibnp",'paid claim lag dump'!V33,'reported claim lag dump'!V33)</f>
        <v>0</v>
      </c>
      <c r="W33" s="209">
        <f>IF(LOWER(Basis)="ibnp",'paid claim lag dump'!W33,'reported claim lag dump'!W33)</f>
        <v>0</v>
      </c>
      <c r="X33" s="209">
        <f>IF(LOWER(Basis)="ibnp",'paid claim lag dump'!X33,'reported claim lag dump'!X33)</f>
        <v>0</v>
      </c>
      <c r="Y33" s="209">
        <f>IF(LOWER(Basis)="ibnp",'paid claim lag dump'!Y33,'reported claim lag dump'!Y33)</f>
        <v>0</v>
      </c>
      <c r="Z33" s="209">
        <f>IF(LOWER(Basis)="ibnp",'paid claim lag dump'!Z33,'reported claim lag dump'!Z33)</f>
        <v>0</v>
      </c>
      <c r="AA33" s="209">
        <f>IF(LOWER(Basis)="ibnp",'paid claim lag dump'!AA33,'reported claim lag dump'!AA33)</f>
        <v>0</v>
      </c>
      <c r="AB33" s="209">
        <f>IF(LOWER(Basis)="ibnp",'paid claim lag dump'!AB33,'reported claim lag dump'!AB33)</f>
        <v>0</v>
      </c>
      <c r="AC33" s="209">
        <f>IF(LOWER(Basis)="ibnp",'paid claim lag dump'!AC33,'reported claim lag dump'!AC33)</f>
        <v>0</v>
      </c>
      <c r="AD33" s="209">
        <f>IF(LOWER(Basis)="ibnp",'paid claim lag dump'!AD33,'reported claim lag dump'!AD33)</f>
        <v>0</v>
      </c>
      <c r="AE33" s="209">
        <f>IF(LOWER(Basis)="ibnp",'paid claim lag dump'!AE33,'reported claim lag dump'!AE33)</f>
        <v>0</v>
      </c>
      <c r="AF33" s="209">
        <f>IF(LOWER(Basis)="ibnp",'paid claim lag dump'!AF33,'reported claim lag dump'!AF33)</f>
        <v>0</v>
      </c>
      <c r="AG33" s="209">
        <f>IF(LOWER(Basis)="ibnp",'paid claim lag dump'!AG33,'reported claim lag dump'!AG33)</f>
        <v>0</v>
      </c>
      <c r="AH33" s="209">
        <f>IF(LOWER(Basis)="ibnp",'paid claim lag dump'!AH33,'reported claim lag dump'!AH33)</f>
        <v>0</v>
      </c>
      <c r="AI33" s="209">
        <f>IF(LOWER(Basis)="ibnp",'paid claim lag dump'!AI33,'reported claim lag dump'!AI33)</f>
        <v>0</v>
      </c>
      <c r="AJ33" s="209">
        <f>IF(LOWER(Basis)="ibnp",'paid claim lag dump'!AJ33,'reported claim lag dump'!AJ33)</f>
        <v>0</v>
      </c>
      <c r="AK33" s="209">
        <f>IF(LOWER(Basis)="ibnp",'paid claim lag dump'!AK33,'reported claim lag dump'!AK33)</f>
        <v>0</v>
      </c>
      <c r="AL33" s="209">
        <f>IF(LOWER(Basis)="ibnp",'paid claim lag dump'!AL33,'reported claim lag dump'!AL33)</f>
        <v>0</v>
      </c>
      <c r="AM33" s="207"/>
    </row>
    <row r="34" spans="1:39" ht="12.75">
      <c r="A34" s="204"/>
      <c r="B34" s="208">
        <f>'general dump'!B34</f>
        <v>36951</v>
      </c>
      <c r="C34" s="209">
        <f>IF(LOWER(Basis)="ibnp",'paid claim lag dump'!C34,'reported claim lag dump'!C34)</f>
        <v>8442</v>
      </c>
      <c r="D34" s="209">
        <f>IF(LOWER(Basis)="ibnp",'paid claim lag dump'!D34,'reported claim lag dump'!D34)</f>
        <v>51447</v>
      </c>
      <c r="E34" s="209">
        <f>IF(LOWER(Basis)="ibnp",'paid claim lag dump'!E34,'reported claim lag dump'!E34)</f>
        <v>16192</v>
      </c>
      <c r="F34" s="209">
        <f>IF(LOWER(Basis)="ibnp",'paid claim lag dump'!F34,'reported claim lag dump'!F34)</f>
        <v>58463</v>
      </c>
      <c r="G34" s="209">
        <f>IF(LOWER(Basis)="ibnp",'paid claim lag dump'!G34,'reported claim lag dump'!G34)</f>
        <v>1725</v>
      </c>
      <c r="H34" s="209">
        <f>IF(LOWER(Basis)="ibnp",'paid claim lag dump'!H34,'reported claim lag dump'!H34)</f>
        <v>1611</v>
      </c>
      <c r="I34" s="209">
        <f>IF(LOWER(Basis)="ibnp",'paid claim lag dump'!I34,'reported claim lag dump'!I34)</f>
        <v>455</v>
      </c>
      <c r="J34" s="209">
        <f>IF(LOWER(Basis)="ibnp",'paid claim lag dump'!J34,'reported claim lag dump'!J34)</f>
        <v>881</v>
      </c>
      <c r="K34" s="209">
        <f>IF(LOWER(Basis)="ibnp",'paid claim lag dump'!K34,'reported claim lag dump'!K34)</f>
        <v>679</v>
      </c>
      <c r="L34" s="209">
        <f>IF(LOWER(Basis)="ibnp",'paid claim lag dump'!L34,'reported claim lag dump'!L34)</f>
        <v>64</v>
      </c>
      <c r="M34" s="209">
        <f>IF(LOWER(Basis)="ibnp",'paid claim lag dump'!M34,'reported claim lag dump'!M34)</f>
        <v>28</v>
      </c>
      <c r="N34" s="209">
        <f>IF(LOWER(Basis)="ibnp",'paid claim lag dump'!N34,'reported claim lag dump'!N34)</f>
        <v>0</v>
      </c>
      <c r="O34" s="209">
        <f>IF(LOWER(Basis)="ibnp",'paid claim lag dump'!O34,'reported claim lag dump'!O34)</f>
        <v>0</v>
      </c>
      <c r="P34" s="209">
        <f>IF(LOWER(Basis)="ibnp",'paid claim lag dump'!P34,'reported claim lag dump'!P34)</f>
        <v>0</v>
      </c>
      <c r="Q34" s="209">
        <f>IF(LOWER(Basis)="ibnp",'paid claim lag dump'!Q34,'reported claim lag dump'!Q34)</f>
        <v>256</v>
      </c>
      <c r="R34" s="209">
        <f>IF(LOWER(Basis)="ibnp",'paid claim lag dump'!R34,'reported claim lag dump'!R34)</f>
        <v>108</v>
      </c>
      <c r="S34" s="209">
        <f>IF(LOWER(Basis)="ibnp",'paid claim lag dump'!S34,'reported claim lag dump'!S34)</f>
        <v>70</v>
      </c>
      <c r="T34" s="209">
        <f>IF(LOWER(Basis)="ibnp",'paid claim lag dump'!T34,'reported claim lag dump'!T34)</f>
        <v>0</v>
      </c>
      <c r="U34" s="209">
        <f>IF(LOWER(Basis)="ibnp",'paid claim lag dump'!U34,'reported claim lag dump'!U34)</f>
        <v>0</v>
      </c>
      <c r="V34" s="209">
        <f>IF(LOWER(Basis)="ibnp",'paid claim lag dump'!V34,'reported claim lag dump'!V34)</f>
        <v>0</v>
      </c>
      <c r="W34" s="209">
        <f>IF(LOWER(Basis)="ibnp",'paid claim lag dump'!W34,'reported claim lag dump'!W34)</f>
        <v>0</v>
      </c>
      <c r="X34" s="209">
        <f>IF(LOWER(Basis)="ibnp",'paid claim lag dump'!X34,'reported claim lag dump'!X34)</f>
        <v>0</v>
      </c>
      <c r="Y34" s="209">
        <f>IF(LOWER(Basis)="ibnp",'paid claim lag dump'!Y34,'reported claim lag dump'!Y34)</f>
        <v>0</v>
      </c>
      <c r="Z34" s="209">
        <f>IF(LOWER(Basis)="ibnp",'paid claim lag dump'!Z34,'reported claim lag dump'!Z34)</f>
        <v>0</v>
      </c>
      <c r="AA34" s="209">
        <f>IF(LOWER(Basis)="ibnp",'paid claim lag dump'!AA34,'reported claim lag dump'!AA34)</f>
        <v>0</v>
      </c>
      <c r="AB34" s="209">
        <f>IF(LOWER(Basis)="ibnp",'paid claim lag dump'!AB34,'reported claim lag dump'!AB34)</f>
        <v>0</v>
      </c>
      <c r="AC34" s="209">
        <f>IF(LOWER(Basis)="ibnp",'paid claim lag dump'!AC34,'reported claim lag dump'!AC34)</f>
        <v>0</v>
      </c>
      <c r="AD34" s="209">
        <f>IF(LOWER(Basis)="ibnp",'paid claim lag dump'!AD34,'reported claim lag dump'!AD34)</f>
        <v>0</v>
      </c>
      <c r="AE34" s="209">
        <f>IF(LOWER(Basis)="ibnp",'paid claim lag dump'!AE34,'reported claim lag dump'!AE34)</f>
        <v>0</v>
      </c>
      <c r="AF34" s="209">
        <f>IF(LOWER(Basis)="ibnp",'paid claim lag dump'!AF34,'reported claim lag dump'!AF34)</f>
        <v>0</v>
      </c>
      <c r="AG34" s="209">
        <f>IF(LOWER(Basis)="ibnp",'paid claim lag dump'!AG34,'reported claim lag dump'!AG34)</f>
        <v>0</v>
      </c>
      <c r="AH34" s="209">
        <f>IF(LOWER(Basis)="ibnp",'paid claim lag dump'!AH34,'reported claim lag dump'!AH34)</f>
        <v>0</v>
      </c>
      <c r="AI34" s="209">
        <f>IF(LOWER(Basis)="ibnp",'paid claim lag dump'!AI34,'reported claim lag dump'!AI34)</f>
        <v>0</v>
      </c>
      <c r="AJ34" s="209">
        <f>IF(LOWER(Basis)="ibnp",'paid claim lag dump'!AJ34,'reported claim lag dump'!AJ34)</f>
        <v>0</v>
      </c>
      <c r="AK34" s="209">
        <f>IF(LOWER(Basis)="ibnp",'paid claim lag dump'!AK34,'reported claim lag dump'!AK34)</f>
        <v>0</v>
      </c>
      <c r="AL34" s="209">
        <f>IF(LOWER(Basis)="ibnp",'paid claim lag dump'!AL34,'reported claim lag dump'!AL34)</f>
        <v>0</v>
      </c>
      <c r="AM34" s="207"/>
    </row>
    <row r="35" spans="1:39" ht="12.75">
      <c r="A35" s="204"/>
      <c r="B35" s="208">
        <f>'general dump'!B35</f>
        <v>36982</v>
      </c>
      <c r="C35" s="209">
        <f>IF(LOWER(Basis)="ibnp",'paid claim lag dump'!C35,'reported claim lag dump'!C35)</f>
        <v>1180</v>
      </c>
      <c r="D35" s="209">
        <f>IF(LOWER(Basis)="ibnp",'paid claim lag dump'!D35,'reported claim lag dump'!D35)</f>
        <v>33425</v>
      </c>
      <c r="E35" s="209">
        <f>IF(LOWER(Basis)="ibnp",'paid claim lag dump'!E35,'reported claim lag dump'!E35)</f>
        <v>35398</v>
      </c>
      <c r="F35" s="209">
        <f>IF(LOWER(Basis)="ibnp",'paid claim lag dump'!F35,'reported claim lag dump'!F35)</f>
        <v>24109</v>
      </c>
      <c r="G35" s="209">
        <f>IF(LOWER(Basis)="ibnp",'paid claim lag dump'!G35,'reported claim lag dump'!G35)</f>
        <v>7879</v>
      </c>
      <c r="H35" s="209">
        <f>IF(LOWER(Basis)="ibnp",'paid claim lag dump'!H35,'reported claim lag dump'!H35)</f>
        <v>9007</v>
      </c>
      <c r="I35" s="209">
        <f>IF(LOWER(Basis)="ibnp",'paid claim lag dump'!I35,'reported claim lag dump'!I35)</f>
        <v>1278</v>
      </c>
      <c r="J35" s="209">
        <f>IF(LOWER(Basis)="ibnp",'paid claim lag dump'!J35,'reported claim lag dump'!J35)</f>
        <v>1250</v>
      </c>
      <c r="K35" s="209">
        <f>IF(LOWER(Basis)="ibnp",'paid claim lag dump'!K35,'reported claim lag dump'!K35)</f>
        <v>572</v>
      </c>
      <c r="L35" s="209">
        <f>IF(LOWER(Basis)="ibnp",'paid claim lag dump'!L35,'reported claim lag dump'!L35)</f>
        <v>253</v>
      </c>
      <c r="M35" s="209">
        <f>IF(LOWER(Basis)="ibnp",'paid claim lag dump'!M35,'reported claim lag dump'!M35)</f>
        <v>0</v>
      </c>
      <c r="N35" s="209">
        <f>IF(LOWER(Basis)="ibnp",'paid claim lag dump'!N35,'reported claim lag dump'!N35)</f>
        <v>0</v>
      </c>
      <c r="O35" s="209">
        <f>IF(LOWER(Basis)="ibnp",'paid claim lag dump'!O35,'reported claim lag dump'!O35)</f>
        <v>-247</v>
      </c>
      <c r="P35" s="209">
        <f>IF(LOWER(Basis)="ibnp",'paid claim lag dump'!P35,'reported claim lag dump'!P35)</f>
        <v>266</v>
      </c>
      <c r="Q35" s="209">
        <f>IF(LOWER(Basis)="ibnp",'paid claim lag dump'!Q35,'reported claim lag dump'!Q35)</f>
        <v>7809</v>
      </c>
      <c r="R35" s="209">
        <f>IF(LOWER(Basis)="ibnp",'paid claim lag dump'!R35,'reported claim lag dump'!R35)</f>
        <v>0</v>
      </c>
      <c r="S35" s="209">
        <f>IF(LOWER(Basis)="ibnp",'paid claim lag dump'!S35,'reported claim lag dump'!S35)</f>
        <v>0</v>
      </c>
      <c r="T35" s="209">
        <f>IF(LOWER(Basis)="ibnp",'paid claim lag dump'!T35,'reported claim lag dump'!T35)</f>
        <v>0</v>
      </c>
      <c r="U35" s="209">
        <f>IF(LOWER(Basis)="ibnp",'paid claim lag dump'!U35,'reported claim lag dump'!U35)</f>
        <v>0</v>
      </c>
      <c r="V35" s="209">
        <f>IF(LOWER(Basis)="ibnp",'paid claim lag dump'!V35,'reported claim lag dump'!V35)</f>
        <v>0</v>
      </c>
      <c r="W35" s="209">
        <f>IF(LOWER(Basis)="ibnp",'paid claim lag dump'!W35,'reported claim lag dump'!W35)</f>
        <v>0</v>
      </c>
      <c r="X35" s="209">
        <f>IF(LOWER(Basis)="ibnp",'paid claim lag dump'!X35,'reported claim lag dump'!X35)</f>
        <v>0</v>
      </c>
      <c r="Y35" s="209">
        <f>IF(LOWER(Basis)="ibnp",'paid claim lag dump'!Y35,'reported claim lag dump'!Y35)</f>
        <v>0</v>
      </c>
      <c r="Z35" s="209">
        <f>IF(LOWER(Basis)="ibnp",'paid claim lag dump'!Z35,'reported claim lag dump'!Z35)</f>
        <v>0</v>
      </c>
      <c r="AA35" s="209">
        <f>IF(LOWER(Basis)="ibnp",'paid claim lag dump'!AA35,'reported claim lag dump'!AA35)</f>
        <v>0</v>
      </c>
      <c r="AB35" s="209">
        <f>IF(LOWER(Basis)="ibnp",'paid claim lag dump'!AB35,'reported claim lag dump'!AB35)</f>
        <v>0</v>
      </c>
      <c r="AC35" s="209">
        <f>IF(LOWER(Basis)="ibnp",'paid claim lag dump'!AC35,'reported claim lag dump'!AC35)</f>
        <v>0</v>
      </c>
      <c r="AD35" s="209">
        <f>IF(LOWER(Basis)="ibnp",'paid claim lag dump'!AD35,'reported claim lag dump'!AD35)</f>
        <v>0</v>
      </c>
      <c r="AE35" s="209">
        <f>IF(LOWER(Basis)="ibnp",'paid claim lag dump'!AE35,'reported claim lag dump'!AE35)</f>
        <v>0</v>
      </c>
      <c r="AF35" s="209">
        <f>IF(LOWER(Basis)="ibnp",'paid claim lag dump'!AF35,'reported claim lag dump'!AF35)</f>
        <v>0</v>
      </c>
      <c r="AG35" s="209">
        <f>IF(LOWER(Basis)="ibnp",'paid claim lag dump'!AG35,'reported claim lag dump'!AG35)</f>
        <v>0</v>
      </c>
      <c r="AH35" s="209">
        <f>IF(LOWER(Basis)="ibnp",'paid claim lag dump'!AH35,'reported claim lag dump'!AH35)</f>
        <v>0</v>
      </c>
      <c r="AI35" s="209">
        <f>IF(LOWER(Basis)="ibnp",'paid claim lag dump'!AI35,'reported claim lag dump'!AI35)</f>
        <v>0</v>
      </c>
      <c r="AJ35" s="209">
        <f>IF(LOWER(Basis)="ibnp",'paid claim lag dump'!AJ35,'reported claim lag dump'!AJ35)</f>
        <v>0</v>
      </c>
      <c r="AK35" s="209">
        <f>IF(LOWER(Basis)="ibnp",'paid claim lag dump'!AK35,'reported claim lag dump'!AK35)</f>
        <v>0</v>
      </c>
      <c r="AL35" s="209">
        <f>IF(LOWER(Basis)="ibnp",'paid claim lag dump'!AL35,'reported claim lag dump'!AL35)</f>
        <v>0</v>
      </c>
      <c r="AM35" s="207"/>
    </row>
    <row r="36" spans="1:39" ht="12.75">
      <c r="A36" s="204"/>
      <c r="B36" s="208">
        <f>'general dump'!B36</f>
        <v>37012</v>
      </c>
      <c r="C36" s="209">
        <f>IF(LOWER(Basis)="ibnp",'paid claim lag dump'!C36,'reported claim lag dump'!C36)</f>
        <v>24336</v>
      </c>
      <c r="D36" s="209">
        <f>IF(LOWER(Basis)="ibnp",'paid claim lag dump'!D36,'reported claim lag dump'!D36)</f>
        <v>38853</v>
      </c>
      <c r="E36" s="209">
        <f>IF(LOWER(Basis)="ibnp",'paid claim lag dump'!E36,'reported claim lag dump'!E36)</f>
        <v>23133</v>
      </c>
      <c r="F36" s="209">
        <f>IF(LOWER(Basis)="ibnp",'paid claim lag dump'!F36,'reported claim lag dump'!F36)</f>
        <v>13306</v>
      </c>
      <c r="G36" s="209">
        <f>IF(LOWER(Basis)="ibnp",'paid claim lag dump'!G36,'reported claim lag dump'!G36)</f>
        <v>5789</v>
      </c>
      <c r="H36" s="209">
        <f>IF(LOWER(Basis)="ibnp",'paid claim lag dump'!H36,'reported claim lag dump'!H36)</f>
        <v>5946</v>
      </c>
      <c r="I36" s="209">
        <f>IF(LOWER(Basis)="ibnp",'paid claim lag dump'!I36,'reported claim lag dump'!I36)</f>
        <v>1041</v>
      </c>
      <c r="J36" s="209">
        <f>IF(LOWER(Basis)="ibnp",'paid claim lag dump'!J36,'reported claim lag dump'!J36)</f>
        <v>1381</v>
      </c>
      <c r="K36" s="209">
        <f>IF(LOWER(Basis)="ibnp",'paid claim lag dump'!K36,'reported claim lag dump'!K36)</f>
        <v>313</v>
      </c>
      <c r="L36" s="209">
        <f>IF(LOWER(Basis)="ibnp",'paid claim lag dump'!L36,'reported claim lag dump'!L36)</f>
        <v>253</v>
      </c>
      <c r="M36" s="209">
        <f>IF(LOWER(Basis)="ibnp",'paid claim lag dump'!M36,'reported claim lag dump'!M36)</f>
        <v>0</v>
      </c>
      <c r="N36" s="209">
        <f>IF(LOWER(Basis)="ibnp",'paid claim lag dump'!N36,'reported claim lag dump'!N36)</f>
        <v>0</v>
      </c>
      <c r="O36" s="209">
        <f>IF(LOWER(Basis)="ibnp",'paid claim lag dump'!O36,'reported claim lag dump'!O36)</f>
        <v>-247</v>
      </c>
      <c r="P36" s="209">
        <f>IF(LOWER(Basis)="ibnp",'paid claim lag dump'!P36,'reported claim lag dump'!P36)</f>
        <v>266</v>
      </c>
      <c r="Q36" s="209">
        <f>IF(LOWER(Basis)="ibnp",'paid claim lag dump'!Q36,'reported claim lag dump'!Q36)</f>
        <v>7809</v>
      </c>
      <c r="R36" s="209">
        <f>IF(LOWER(Basis)="ibnp",'paid claim lag dump'!R36,'reported claim lag dump'!R36)</f>
        <v>0</v>
      </c>
      <c r="S36" s="209">
        <f>IF(LOWER(Basis)="ibnp",'paid claim lag dump'!S36,'reported claim lag dump'!S36)</f>
        <v>0</v>
      </c>
      <c r="T36" s="209">
        <f>IF(LOWER(Basis)="ibnp",'paid claim lag dump'!T36,'reported claim lag dump'!T36)</f>
        <v>0</v>
      </c>
      <c r="U36" s="209">
        <f>IF(LOWER(Basis)="ibnp",'paid claim lag dump'!U36,'reported claim lag dump'!U36)</f>
        <v>0</v>
      </c>
      <c r="V36" s="209">
        <f>IF(LOWER(Basis)="ibnp",'paid claim lag dump'!V36,'reported claim lag dump'!V36)</f>
        <v>0</v>
      </c>
      <c r="W36" s="209">
        <f>IF(LOWER(Basis)="ibnp",'paid claim lag dump'!W36,'reported claim lag dump'!W36)</f>
        <v>0</v>
      </c>
      <c r="X36" s="209">
        <f>IF(LOWER(Basis)="ibnp",'paid claim lag dump'!X36,'reported claim lag dump'!X36)</f>
        <v>0</v>
      </c>
      <c r="Y36" s="209">
        <f>IF(LOWER(Basis)="ibnp",'paid claim lag dump'!Y36,'reported claim lag dump'!Y36)</f>
        <v>0</v>
      </c>
      <c r="Z36" s="209">
        <f>IF(LOWER(Basis)="ibnp",'paid claim lag dump'!Z36,'reported claim lag dump'!Z36)</f>
        <v>0</v>
      </c>
      <c r="AA36" s="209">
        <f>IF(LOWER(Basis)="ibnp",'paid claim lag dump'!AA36,'reported claim lag dump'!AA36)</f>
        <v>0</v>
      </c>
      <c r="AB36" s="209">
        <f>IF(LOWER(Basis)="ibnp",'paid claim lag dump'!AB36,'reported claim lag dump'!AB36)</f>
        <v>0</v>
      </c>
      <c r="AC36" s="209">
        <f>IF(LOWER(Basis)="ibnp",'paid claim lag dump'!AC36,'reported claim lag dump'!AC36)</f>
        <v>0</v>
      </c>
      <c r="AD36" s="209">
        <f>IF(LOWER(Basis)="ibnp",'paid claim lag dump'!AD36,'reported claim lag dump'!AD36)</f>
        <v>0</v>
      </c>
      <c r="AE36" s="209">
        <f>IF(LOWER(Basis)="ibnp",'paid claim lag dump'!AE36,'reported claim lag dump'!AE36)</f>
        <v>0</v>
      </c>
      <c r="AF36" s="209">
        <f>IF(LOWER(Basis)="ibnp",'paid claim lag dump'!AF36,'reported claim lag dump'!AF36)</f>
        <v>0</v>
      </c>
      <c r="AG36" s="209">
        <f>IF(LOWER(Basis)="ibnp",'paid claim lag dump'!AG36,'reported claim lag dump'!AG36)</f>
        <v>0</v>
      </c>
      <c r="AH36" s="209">
        <f>IF(LOWER(Basis)="ibnp",'paid claim lag dump'!AH36,'reported claim lag dump'!AH36)</f>
        <v>0</v>
      </c>
      <c r="AI36" s="209">
        <f>IF(LOWER(Basis)="ibnp",'paid claim lag dump'!AI36,'reported claim lag dump'!AI36)</f>
        <v>0</v>
      </c>
      <c r="AJ36" s="209">
        <f>IF(LOWER(Basis)="ibnp",'paid claim lag dump'!AJ36,'reported claim lag dump'!AJ36)</f>
        <v>0</v>
      </c>
      <c r="AK36" s="209">
        <f>IF(LOWER(Basis)="ibnp",'paid claim lag dump'!AK36,'reported claim lag dump'!AK36)</f>
        <v>0</v>
      </c>
      <c r="AL36" s="209">
        <f>IF(LOWER(Basis)="ibnp",'paid claim lag dump'!AL36,'reported claim lag dump'!AL36)</f>
        <v>0</v>
      </c>
      <c r="AM36" s="207"/>
    </row>
    <row r="37" spans="1:39" ht="12.75">
      <c r="A37" s="204"/>
      <c r="B37" s="208">
        <f>'general dump'!B37</f>
        <v>37043</v>
      </c>
      <c r="C37" s="209">
        <f>IF(LOWER(Basis)="ibnp",'paid claim lag dump'!C37,'reported claim lag dump'!C37)</f>
        <v>0</v>
      </c>
      <c r="D37" s="209">
        <f>IF(LOWER(Basis)="ibnp",'paid claim lag dump'!D37,'reported claim lag dump'!D37)</f>
        <v>0</v>
      </c>
      <c r="E37" s="209">
        <f>IF(LOWER(Basis)="ibnp",'paid claim lag dump'!E37,'reported claim lag dump'!E37)</f>
        <v>0</v>
      </c>
      <c r="F37" s="209">
        <f>IF(LOWER(Basis)="ibnp",'paid claim lag dump'!F37,'reported claim lag dump'!F37)</f>
        <v>0</v>
      </c>
      <c r="G37" s="209">
        <f>IF(LOWER(Basis)="ibnp",'paid claim lag dump'!G37,'reported claim lag dump'!G37)</f>
        <v>0</v>
      </c>
      <c r="H37" s="209">
        <f>IF(LOWER(Basis)="ibnp",'paid claim lag dump'!H37,'reported claim lag dump'!H37)</f>
        <v>0</v>
      </c>
      <c r="I37" s="209">
        <f>IF(LOWER(Basis)="ibnp",'paid claim lag dump'!I37,'reported claim lag dump'!I37)</f>
        <v>0</v>
      </c>
      <c r="J37" s="209">
        <f>IF(LOWER(Basis)="ibnp",'paid claim lag dump'!J37,'reported claim lag dump'!J37)</f>
        <v>0</v>
      </c>
      <c r="K37" s="209">
        <f>IF(LOWER(Basis)="ibnp",'paid claim lag dump'!K37,'reported claim lag dump'!K37)</f>
        <v>0</v>
      </c>
      <c r="L37" s="209">
        <f>IF(LOWER(Basis)="ibnp",'paid claim lag dump'!L37,'reported claim lag dump'!L37)</f>
        <v>0</v>
      </c>
      <c r="M37" s="209">
        <f>IF(LOWER(Basis)="ibnp",'paid claim lag dump'!M37,'reported claim lag dump'!M37)</f>
        <v>0</v>
      </c>
      <c r="N37" s="209">
        <f>IF(LOWER(Basis)="ibnp",'paid claim lag dump'!N37,'reported claim lag dump'!N37)</f>
        <v>0</v>
      </c>
      <c r="O37" s="209">
        <f>IF(LOWER(Basis)="ibnp",'paid claim lag dump'!O37,'reported claim lag dump'!O37)</f>
        <v>0</v>
      </c>
      <c r="P37" s="209">
        <f>IF(LOWER(Basis)="ibnp",'paid claim lag dump'!P37,'reported claim lag dump'!P37)</f>
        <v>0</v>
      </c>
      <c r="Q37" s="209">
        <f>IF(LOWER(Basis)="ibnp",'paid claim lag dump'!Q37,'reported claim lag dump'!Q37)</f>
        <v>0</v>
      </c>
      <c r="R37" s="209">
        <f>IF(LOWER(Basis)="ibnp",'paid claim lag dump'!R37,'reported claim lag dump'!R37)</f>
        <v>0</v>
      </c>
      <c r="S37" s="209">
        <f>IF(LOWER(Basis)="ibnp",'paid claim lag dump'!S37,'reported claim lag dump'!S37)</f>
        <v>0</v>
      </c>
      <c r="T37" s="209">
        <f>IF(LOWER(Basis)="ibnp",'paid claim lag dump'!T37,'reported claim lag dump'!T37)</f>
        <v>0</v>
      </c>
      <c r="U37" s="209">
        <f>IF(LOWER(Basis)="ibnp",'paid claim lag dump'!U37,'reported claim lag dump'!U37)</f>
        <v>0</v>
      </c>
      <c r="V37" s="209">
        <f>IF(LOWER(Basis)="ibnp",'paid claim lag dump'!V37,'reported claim lag dump'!V37)</f>
        <v>0</v>
      </c>
      <c r="W37" s="209">
        <f>IF(LOWER(Basis)="ibnp",'paid claim lag dump'!W37,'reported claim lag dump'!W37)</f>
        <v>0</v>
      </c>
      <c r="X37" s="209">
        <f>IF(LOWER(Basis)="ibnp",'paid claim lag dump'!X37,'reported claim lag dump'!X37)</f>
        <v>0</v>
      </c>
      <c r="Y37" s="209">
        <f>IF(LOWER(Basis)="ibnp",'paid claim lag dump'!Y37,'reported claim lag dump'!Y37)</f>
        <v>0</v>
      </c>
      <c r="Z37" s="209">
        <f>IF(LOWER(Basis)="ibnp",'paid claim lag dump'!Z37,'reported claim lag dump'!Z37)</f>
        <v>0</v>
      </c>
      <c r="AA37" s="209">
        <f>IF(LOWER(Basis)="ibnp",'paid claim lag dump'!AA37,'reported claim lag dump'!AA37)</f>
        <v>0</v>
      </c>
      <c r="AB37" s="209">
        <f>IF(LOWER(Basis)="ibnp",'paid claim lag dump'!AB37,'reported claim lag dump'!AB37)</f>
        <v>0</v>
      </c>
      <c r="AC37" s="209">
        <f>IF(LOWER(Basis)="ibnp",'paid claim lag dump'!AC37,'reported claim lag dump'!AC37)</f>
        <v>0</v>
      </c>
      <c r="AD37" s="209">
        <f>IF(LOWER(Basis)="ibnp",'paid claim lag dump'!AD37,'reported claim lag dump'!AD37)</f>
        <v>0</v>
      </c>
      <c r="AE37" s="209">
        <f>IF(LOWER(Basis)="ibnp",'paid claim lag dump'!AE37,'reported claim lag dump'!AE37)</f>
        <v>0</v>
      </c>
      <c r="AF37" s="209">
        <f>IF(LOWER(Basis)="ibnp",'paid claim lag dump'!AF37,'reported claim lag dump'!AF37)</f>
        <v>0</v>
      </c>
      <c r="AG37" s="209">
        <f>IF(LOWER(Basis)="ibnp",'paid claim lag dump'!AG37,'reported claim lag dump'!AG37)</f>
        <v>0</v>
      </c>
      <c r="AH37" s="209">
        <f>IF(LOWER(Basis)="ibnp",'paid claim lag dump'!AH37,'reported claim lag dump'!AH37)</f>
        <v>0</v>
      </c>
      <c r="AI37" s="209">
        <f>IF(LOWER(Basis)="ibnp",'paid claim lag dump'!AI37,'reported claim lag dump'!AI37)</f>
        <v>0</v>
      </c>
      <c r="AJ37" s="209">
        <f>IF(LOWER(Basis)="ibnp",'paid claim lag dump'!AJ37,'reported claim lag dump'!AJ37)</f>
        <v>0</v>
      </c>
      <c r="AK37" s="209">
        <f>IF(LOWER(Basis)="ibnp",'paid claim lag dump'!AK37,'reported claim lag dump'!AK37)</f>
        <v>0</v>
      </c>
      <c r="AL37" s="209">
        <f>IF(LOWER(Basis)="ibnp",'paid claim lag dump'!AL37,'reported claim lag dump'!AL37)</f>
        <v>0</v>
      </c>
      <c r="AM37" s="207"/>
    </row>
    <row r="38" spans="1:39" ht="12.75">
      <c r="A38" s="204"/>
      <c r="B38" s="208">
        <f>'general dump'!B38</f>
        <v>37073</v>
      </c>
      <c r="C38" s="209">
        <f>IF(LOWER(Basis)="ibnp",'paid claim lag dump'!C38,'reported claim lag dump'!C38)</f>
        <v>0</v>
      </c>
      <c r="D38" s="209">
        <f>IF(LOWER(Basis)="ibnp",'paid claim lag dump'!D38,'reported claim lag dump'!D38)</f>
        <v>0</v>
      </c>
      <c r="E38" s="209">
        <f>IF(LOWER(Basis)="ibnp",'paid claim lag dump'!E38,'reported claim lag dump'!E38)</f>
        <v>0</v>
      </c>
      <c r="F38" s="209">
        <f>IF(LOWER(Basis)="ibnp",'paid claim lag dump'!F38,'reported claim lag dump'!F38)</f>
        <v>0</v>
      </c>
      <c r="G38" s="209">
        <f>IF(LOWER(Basis)="ibnp",'paid claim lag dump'!G38,'reported claim lag dump'!G38)</f>
        <v>0</v>
      </c>
      <c r="H38" s="209">
        <f>IF(LOWER(Basis)="ibnp",'paid claim lag dump'!H38,'reported claim lag dump'!H38)</f>
        <v>0</v>
      </c>
      <c r="I38" s="209">
        <f>IF(LOWER(Basis)="ibnp",'paid claim lag dump'!I38,'reported claim lag dump'!I38)</f>
        <v>0</v>
      </c>
      <c r="J38" s="209">
        <f>IF(LOWER(Basis)="ibnp",'paid claim lag dump'!J38,'reported claim lag dump'!J38)</f>
        <v>0</v>
      </c>
      <c r="K38" s="209">
        <f>IF(LOWER(Basis)="ibnp",'paid claim lag dump'!K38,'reported claim lag dump'!K38)</f>
        <v>0</v>
      </c>
      <c r="L38" s="209">
        <f>IF(LOWER(Basis)="ibnp",'paid claim lag dump'!L38,'reported claim lag dump'!L38)</f>
        <v>0</v>
      </c>
      <c r="M38" s="209">
        <f>IF(LOWER(Basis)="ibnp",'paid claim lag dump'!M38,'reported claim lag dump'!M38)</f>
        <v>0</v>
      </c>
      <c r="N38" s="209">
        <f>IF(LOWER(Basis)="ibnp",'paid claim lag dump'!N38,'reported claim lag dump'!N38)</f>
        <v>0</v>
      </c>
      <c r="O38" s="209">
        <f>IF(LOWER(Basis)="ibnp",'paid claim lag dump'!O38,'reported claim lag dump'!O38)</f>
        <v>0</v>
      </c>
      <c r="P38" s="209">
        <f>IF(LOWER(Basis)="ibnp",'paid claim lag dump'!P38,'reported claim lag dump'!P38)</f>
        <v>0</v>
      </c>
      <c r="Q38" s="209">
        <f>IF(LOWER(Basis)="ibnp",'paid claim lag dump'!Q38,'reported claim lag dump'!Q38)</f>
        <v>0</v>
      </c>
      <c r="R38" s="209">
        <f>IF(LOWER(Basis)="ibnp",'paid claim lag dump'!R38,'reported claim lag dump'!R38)</f>
        <v>0</v>
      </c>
      <c r="S38" s="209">
        <f>IF(LOWER(Basis)="ibnp",'paid claim lag dump'!S38,'reported claim lag dump'!S38)</f>
        <v>0</v>
      </c>
      <c r="T38" s="209">
        <f>IF(LOWER(Basis)="ibnp",'paid claim lag dump'!T38,'reported claim lag dump'!T38)</f>
        <v>0</v>
      </c>
      <c r="U38" s="209">
        <f>IF(LOWER(Basis)="ibnp",'paid claim lag dump'!U38,'reported claim lag dump'!U38)</f>
        <v>0</v>
      </c>
      <c r="V38" s="209">
        <f>IF(LOWER(Basis)="ibnp",'paid claim lag dump'!V38,'reported claim lag dump'!V38)</f>
        <v>0</v>
      </c>
      <c r="W38" s="209">
        <f>IF(LOWER(Basis)="ibnp",'paid claim lag dump'!W38,'reported claim lag dump'!W38)</f>
        <v>0</v>
      </c>
      <c r="X38" s="209">
        <f>IF(LOWER(Basis)="ibnp",'paid claim lag dump'!X38,'reported claim lag dump'!X38)</f>
        <v>0</v>
      </c>
      <c r="Y38" s="209">
        <f>IF(LOWER(Basis)="ibnp",'paid claim lag dump'!Y38,'reported claim lag dump'!Y38)</f>
        <v>0</v>
      </c>
      <c r="Z38" s="209">
        <f>IF(LOWER(Basis)="ibnp",'paid claim lag dump'!Z38,'reported claim lag dump'!Z38)</f>
        <v>0</v>
      </c>
      <c r="AA38" s="209">
        <f>IF(LOWER(Basis)="ibnp",'paid claim lag dump'!AA38,'reported claim lag dump'!AA38)</f>
        <v>0</v>
      </c>
      <c r="AB38" s="209">
        <f>IF(LOWER(Basis)="ibnp",'paid claim lag dump'!AB38,'reported claim lag dump'!AB38)</f>
        <v>0</v>
      </c>
      <c r="AC38" s="209">
        <f>IF(LOWER(Basis)="ibnp",'paid claim lag dump'!AC38,'reported claim lag dump'!AC38)</f>
        <v>0</v>
      </c>
      <c r="AD38" s="209">
        <f>IF(LOWER(Basis)="ibnp",'paid claim lag dump'!AD38,'reported claim lag dump'!AD38)</f>
        <v>0</v>
      </c>
      <c r="AE38" s="209">
        <f>IF(LOWER(Basis)="ibnp",'paid claim lag dump'!AE38,'reported claim lag dump'!AE38)</f>
        <v>0</v>
      </c>
      <c r="AF38" s="209">
        <f>IF(LOWER(Basis)="ibnp",'paid claim lag dump'!AF38,'reported claim lag dump'!AF38)</f>
        <v>0</v>
      </c>
      <c r="AG38" s="209">
        <f>IF(LOWER(Basis)="ibnp",'paid claim lag dump'!AG38,'reported claim lag dump'!AG38)</f>
        <v>0</v>
      </c>
      <c r="AH38" s="209">
        <f>IF(LOWER(Basis)="ibnp",'paid claim lag dump'!AH38,'reported claim lag dump'!AH38)</f>
        <v>0</v>
      </c>
      <c r="AI38" s="209">
        <f>IF(LOWER(Basis)="ibnp",'paid claim lag dump'!AI38,'reported claim lag dump'!AI38)</f>
        <v>0</v>
      </c>
      <c r="AJ38" s="209">
        <f>IF(LOWER(Basis)="ibnp",'paid claim lag dump'!AJ38,'reported claim lag dump'!AJ38)</f>
        <v>0</v>
      </c>
      <c r="AK38" s="209">
        <f>IF(LOWER(Basis)="ibnp",'paid claim lag dump'!AK38,'reported claim lag dump'!AK38)</f>
        <v>0</v>
      </c>
      <c r="AL38" s="209">
        <f>IF(LOWER(Basis)="ibnp",'paid claim lag dump'!AL38,'reported claim lag dump'!AL38)</f>
        <v>0</v>
      </c>
      <c r="AM38" s="207"/>
    </row>
    <row r="39" spans="2:38" ht="11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J74"/>
  <sheetViews>
    <sheetView zoomScale="80" zoomScaleNormal="80" workbookViewId="0" topLeftCell="A17">
      <selection activeCell="B38" sqref="B38"/>
    </sheetView>
  </sheetViews>
  <sheetFormatPr defaultColWidth="9.140625" defaultRowHeight="12.75"/>
  <cols>
    <col min="1" max="1" width="2.7109375" style="49" customWidth="1"/>
    <col min="2" max="2" width="12.00390625" style="49" bestFit="1" customWidth="1"/>
    <col min="3" max="3" width="9.140625" style="49" bestFit="1" customWidth="1"/>
    <col min="4" max="4" width="7.140625" style="49" bestFit="1" customWidth="1"/>
    <col min="5" max="5" width="8.140625" style="49" bestFit="1" customWidth="1"/>
    <col min="6" max="6" width="15.28125" style="49" bestFit="1" customWidth="1"/>
    <col min="7" max="7" width="11.140625" style="49" bestFit="1" customWidth="1"/>
    <col min="8" max="8" width="13.28125" style="49" bestFit="1" customWidth="1"/>
    <col min="9" max="9" width="20.421875" style="49" bestFit="1" customWidth="1"/>
    <col min="10" max="16384" width="9.140625" style="49" customWidth="1"/>
  </cols>
  <sheetData>
    <row r="2" spans="1:10" s="54" customFormat="1" ht="11.25">
      <c r="A2" s="203"/>
      <c r="B2" s="56" t="s">
        <v>84</v>
      </c>
      <c r="C2" s="56" t="s">
        <v>85</v>
      </c>
      <c r="D2" s="56" t="s">
        <v>86</v>
      </c>
      <c r="E2" s="56" t="s">
        <v>87</v>
      </c>
      <c r="F2" s="56" t="s">
        <v>88</v>
      </c>
      <c r="G2" s="56" t="s">
        <v>89</v>
      </c>
      <c r="H2" s="56" t="s">
        <v>90</v>
      </c>
      <c r="I2" s="56" t="s">
        <v>91</v>
      </c>
      <c r="J2" s="206"/>
    </row>
    <row r="3" spans="1:10" ht="12.75">
      <c r="A3" s="204"/>
      <c r="B3" s="208">
        <v>36008</v>
      </c>
      <c r="C3" s="209">
        <v>1333</v>
      </c>
      <c r="D3" s="209">
        <v>93.116</v>
      </c>
      <c r="E3" s="209">
        <v>0</v>
      </c>
      <c r="F3" s="209">
        <v>2341.96</v>
      </c>
      <c r="G3" s="209">
        <v>2341.96</v>
      </c>
      <c r="H3" s="209">
        <v>2576.156</v>
      </c>
      <c r="I3" s="209">
        <v>1449.45</v>
      </c>
      <c r="J3" s="207"/>
    </row>
    <row r="4" spans="1:10" ht="12.75">
      <c r="A4" s="204"/>
      <c r="B4" s="208">
        <v>36039</v>
      </c>
      <c r="C4" s="209">
        <v>1378.333</v>
      </c>
      <c r="D4" s="209">
        <v>80.818</v>
      </c>
      <c r="E4" s="209">
        <v>0</v>
      </c>
      <c r="F4" s="209">
        <v>2422.778</v>
      </c>
      <c r="G4" s="209">
        <v>2421.606</v>
      </c>
      <c r="H4" s="209">
        <v>2663.767</v>
      </c>
      <c r="I4" s="209">
        <v>1484.588</v>
      </c>
      <c r="J4" s="207"/>
    </row>
    <row r="5" spans="1:10" ht="12.75">
      <c r="A5" s="204"/>
      <c r="B5" s="208">
        <v>36069</v>
      </c>
      <c r="C5" s="209">
        <v>1411.677</v>
      </c>
      <c r="D5" s="209">
        <v>72.033</v>
      </c>
      <c r="E5" s="209">
        <v>63.249</v>
      </c>
      <c r="F5" s="209">
        <v>2431.562</v>
      </c>
      <c r="G5" s="209">
        <v>2480.189</v>
      </c>
      <c r="H5" s="209">
        <v>2728.208</v>
      </c>
      <c r="I5" s="209">
        <v>1521.483</v>
      </c>
      <c r="J5" s="207"/>
    </row>
    <row r="6" spans="1:10" ht="12.75">
      <c r="A6" s="204"/>
      <c r="B6" s="208">
        <v>36100</v>
      </c>
      <c r="C6" s="209">
        <v>1438.867</v>
      </c>
      <c r="D6" s="209">
        <v>101.901</v>
      </c>
      <c r="E6" s="209">
        <v>33.381</v>
      </c>
      <c r="F6" s="209">
        <v>2500.082</v>
      </c>
      <c r="G6" s="209">
        <v>2527.958</v>
      </c>
      <c r="H6" s="209">
        <v>2780.754</v>
      </c>
      <c r="I6" s="209">
        <v>1556.621</v>
      </c>
      <c r="J6" s="207"/>
    </row>
    <row r="7" spans="1:10" ht="12.75">
      <c r="A7" s="204"/>
      <c r="B7" s="208">
        <v>36130</v>
      </c>
      <c r="C7" s="209">
        <v>1462.516</v>
      </c>
      <c r="D7" s="209">
        <v>75.547</v>
      </c>
      <c r="E7" s="209">
        <v>40.409</v>
      </c>
      <c r="F7" s="209">
        <v>2535.22</v>
      </c>
      <c r="G7" s="209">
        <v>2569.508</v>
      </c>
      <c r="H7" s="209">
        <v>2826.459</v>
      </c>
      <c r="I7" s="209">
        <v>1579.461</v>
      </c>
      <c r="J7" s="207"/>
    </row>
    <row r="8" spans="1:10" ht="12.75">
      <c r="A8" s="204"/>
      <c r="B8" s="208">
        <v>36161</v>
      </c>
      <c r="C8" s="209">
        <v>1466.968</v>
      </c>
      <c r="D8" s="209">
        <v>42.166</v>
      </c>
      <c r="E8" s="209">
        <v>56.221</v>
      </c>
      <c r="F8" s="209">
        <v>2521.165</v>
      </c>
      <c r="G8" s="209">
        <v>2577.329</v>
      </c>
      <c r="H8" s="209">
        <v>2835.062</v>
      </c>
      <c r="I8" s="209">
        <v>1586.489</v>
      </c>
      <c r="J8" s="207"/>
    </row>
    <row r="9" spans="1:10" ht="12.75">
      <c r="A9" s="204"/>
      <c r="B9" s="208">
        <v>36192</v>
      </c>
      <c r="C9" s="209">
        <v>1457.429</v>
      </c>
      <c r="D9" s="209">
        <v>47.437</v>
      </c>
      <c r="E9" s="209">
        <v>28.111</v>
      </c>
      <c r="F9" s="209">
        <v>2540.491</v>
      </c>
      <c r="G9" s="209">
        <v>2560.569</v>
      </c>
      <c r="H9" s="209">
        <v>2816.626</v>
      </c>
      <c r="I9" s="209">
        <v>1607.572</v>
      </c>
      <c r="J9" s="207"/>
    </row>
    <row r="10" spans="1:10" ht="12.75">
      <c r="A10" s="204"/>
      <c r="B10" s="208">
        <v>36220</v>
      </c>
      <c r="C10" s="209">
        <v>1464.129</v>
      </c>
      <c r="D10" s="209">
        <v>36.895</v>
      </c>
      <c r="E10" s="209">
        <v>47.437</v>
      </c>
      <c r="F10" s="209">
        <v>2529.949</v>
      </c>
      <c r="G10" s="209">
        <v>2572.342</v>
      </c>
      <c r="H10" s="209">
        <v>2829.576</v>
      </c>
      <c r="I10" s="209">
        <v>1623.384</v>
      </c>
      <c r="J10" s="207"/>
    </row>
    <row r="11" spans="1:10" ht="12.75">
      <c r="A11" s="204"/>
      <c r="B11" s="208">
        <v>36251</v>
      </c>
      <c r="C11" s="209">
        <v>1505.933</v>
      </c>
      <c r="D11" s="209">
        <v>121.227</v>
      </c>
      <c r="E11" s="209">
        <v>91.359</v>
      </c>
      <c r="F11" s="209">
        <v>2559.817</v>
      </c>
      <c r="G11" s="209">
        <v>2645.788</v>
      </c>
      <c r="H11" s="209">
        <v>2910.367</v>
      </c>
      <c r="I11" s="209">
        <v>1676.091</v>
      </c>
      <c r="J11" s="207"/>
    </row>
    <row r="12" spans="1:10" ht="12.75">
      <c r="A12" s="204"/>
      <c r="B12" s="208">
        <v>36281</v>
      </c>
      <c r="C12" s="209">
        <v>1487.129</v>
      </c>
      <c r="D12" s="209">
        <v>59.735</v>
      </c>
      <c r="E12" s="209">
        <v>73.79</v>
      </c>
      <c r="F12" s="209">
        <v>2545.761</v>
      </c>
      <c r="G12" s="209">
        <v>2612.75</v>
      </c>
      <c r="H12" s="209">
        <v>2874.026</v>
      </c>
      <c r="I12" s="209">
        <v>1704.202</v>
      </c>
      <c r="J12" s="207"/>
    </row>
    <row r="13" spans="1:10" ht="12.75">
      <c r="A13" s="204"/>
      <c r="B13" s="208">
        <v>36312</v>
      </c>
      <c r="C13" s="209">
        <v>1470</v>
      </c>
      <c r="D13" s="209">
        <v>36.895</v>
      </c>
      <c r="E13" s="209">
        <v>50.95</v>
      </c>
      <c r="F13" s="209">
        <v>2531.706</v>
      </c>
      <c r="G13" s="209">
        <v>2582.656</v>
      </c>
      <c r="H13" s="209">
        <v>2840.922</v>
      </c>
      <c r="I13" s="209">
        <v>1720.014</v>
      </c>
      <c r="J13" s="207"/>
    </row>
    <row r="14" spans="1:10" ht="12.75">
      <c r="A14" s="204"/>
      <c r="B14" s="208">
        <v>36342</v>
      </c>
      <c r="C14" s="209">
        <v>1464.548</v>
      </c>
      <c r="D14" s="209">
        <v>43.923</v>
      </c>
      <c r="E14" s="209">
        <v>61.492</v>
      </c>
      <c r="F14" s="209">
        <v>2514.137</v>
      </c>
      <c r="G14" s="209">
        <v>2573.078</v>
      </c>
      <c r="H14" s="209">
        <v>2830.386</v>
      </c>
      <c r="I14" s="209">
        <v>1734.069</v>
      </c>
      <c r="J14" s="207"/>
    </row>
    <row r="15" spans="1:10" ht="12.75">
      <c r="A15" s="204"/>
      <c r="B15" s="208">
        <v>36373</v>
      </c>
      <c r="C15" s="209">
        <v>1530.484</v>
      </c>
      <c r="D15" s="209">
        <v>187.989</v>
      </c>
      <c r="E15" s="209">
        <v>47.437</v>
      </c>
      <c r="F15" s="209">
        <v>2654.69</v>
      </c>
      <c r="G15" s="209">
        <v>2688.921</v>
      </c>
      <c r="H15" s="209">
        <v>2957.813</v>
      </c>
      <c r="I15" s="209">
        <v>1858.81</v>
      </c>
      <c r="J15" s="207"/>
    </row>
    <row r="16" spans="1:10" ht="12.75">
      <c r="A16" s="204"/>
      <c r="B16" s="208">
        <v>36404</v>
      </c>
      <c r="C16" s="209">
        <v>1538.8</v>
      </c>
      <c r="D16" s="209">
        <v>49.193</v>
      </c>
      <c r="E16" s="209">
        <v>50.95</v>
      </c>
      <c r="F16" s="209">
        <v>2652.933</v>
      </c>
      <c r="G16" s="209">
        <v>2703.532</v>
      </c>
      <c r="H16" s="209">
        <v>2973.885</v>
      </c>
      <c r="I16" s="209">
        <v>1879.893</v>
      </c>
      <c r="J16" s="207"/>
    </row>
    <row r="17" spans="1:10" ht="12.75">
      <c r="A17" s="204"/>
      <c r="B17" s="208">
        <v>36434</v>
      </c>
      <c r="C17" s="209">
        <v>1523</v>
      </c>
      <c r="D17" s="209">
        <v>24.597</v>
      </c>
      <c r="E17" s="209">
        <v>49.193</v>
      </c>
      <c r="F17" s="209">
        <v>2628.336</v>
      </c>
      <c r="G17" s="209">
        <v>2675.773</v>
      </c>
      <c r="H17" s="209">
        <v>2943.35</v>
      </c>
      <c r="I17" s="209">
        <v>1893.948</v>
      </c>
      <c r="J17" s="207"/>
    </row>
    <row r="18" spans="1:10" ht="12.75">
      <c r="A18" s="204"/>
      <c r="B18" s="208">
        <v>36465</v>
      </c>
      <c r="C18" s="209">
        <v>1559.6</v>
      </c>
      <c r="D18" s="209">
        <v>112.442</v>
      </c>
      <c r="E18" s="209">
        <v>22.84</v>
      </c>
      <c r="F18" s="209">
        <v>2717.938</v>
      </c>
      <c r="G18" s="209">
        <v>2740.075</v>
      </c>
      <c r="H18" s="209">
        <v>3014.083</v>
      </c>
      <c r="I18" s="209">
        <v>1973.009</v>
      </c>
      <c r="J18" s="207"/>
    </row>
    <row r="19" spans="1:10" ht="12.75">
      <c r="A19" s="204"/>
      <c r="B19" s="208">
        <v>36495</v>
      </c>
      <c r="C19" s="209">
        <v>1562</v>
      </c>
      <c r="D19" s="209">
        <v>33.381</v>
      </c>
      <c r="E19" s="209">
        <v>79.061</v>
      </c>
      <c r="F19" s="209">
        <v>2672.259</v>
      </c>
      <c r="G19" s="209">
        <v>2744.292</v>
      </c>
      <c r="H19" s="209">
        <v>3018.721</v>
      </c>
      <c r="I19" s="209">
        <v>1990.578</v>
      </c>
      <c r="J19" s="207"/>
    </row>
    <row r="20" spans="1:10" ht="12.75">
      <c r="A20" s="204"/>
      <c r="B20" s="208">
        <v>36526</v>
      </c>
      <c r="C20" s="209">
        <v>1554.032</v>
      </c>
      <c r="D20" s="209">
        <v>59.735</v>
      </c>
      <c r="E20" s="209">
        <v>35.138</v>
      </c>
      <c r="F20" s="209">
        <v>2696.855</v>
      </c>
      <c r="G20" s="209">
        <v>2730.293</v>
      </c>
      <c r="H20" s="209">
        <v>3003.323</v>
      </c>
      <c r="I20" s="209">
        <v>2020.445</v>
      </c>
      <c r="J20" s="207"/>
    </row>
    <row r="21" spans="1:10" ht="12.75">
      <c r="A21" s="204"/>
      <c r="B21" s="208">
        <v>36557</v>
      </c>
      <c r="C21" s="209">
        <v>1555.448</v>
      </c>
      <c r="D21" s="209">
        <v>38.652</v>
      </c>
      <c r="E21" s="209">
        <v>56.221</v>
      </c>
      <c r="F21" s="209">
        <v>2679.286</v>
      </c>
      <c r="G21" s="209">
        <v>2732.781</v>
      </c>
      <c r="H21" s="209">
        <v>3006.059</v>
      </c>
      <c r="I21" s="209">
        <v>2032.744</v>
      </c>
      <c r="J21" s="207"/>
    </row>
    <row r="22" spans="1:10" ht="12.75">
      <c r="A22" s="204"/>
      <c r="B22" s="208">
        <v>36586</v>
      </c>
      <c r="C22" s="209">
        <v>1553.032</v>
      </c>
      <c r="D22" s="209">
        <v>54.464</v>
      </c>
      <c r="E22" s="209">
        <v>66.763</v>
      </c>
      <c r="F22" s="209">
        <v>2666.988</v>
      </c>
      <c r="G22" s="209">
        <v>2728.536</v>
      </c>
      <c r="H22" s="209">
        <v>3001.39</v>
      </c>
      <c r="I22" s="209">
        <v>2059.097</v>
      </c>
      <c r="J22" s="207"/>
    </row>
    <row r="23" spans="1:10" ht="12.75">
      <c r="A23" s="204"/>
      <c r="B23" s="208">
        <v>36617</v>
      </c>
      <c r="C23" s="209">
        <v>1566.7</v>
      </c>
      <c r="D23" s="209">
        <v>86.089</v>
      </c>
      <c r="E23" s="209">
        <v>56.221</v>
      </c>
      <c r="F23" s="209">
        <v>2696.855</v>
      </c>
      <c r="G23" s="209">
        <v>2752.549</v>
      </c>
      <c r="H23" s="209">
        <v>3027.804</v>
      </c>
      <c r="I23" s="209">
        <v>2087.208</v>
      </c>
      <c r="J23" s="207"/>
    </row>
    <row r="24" spans="1:10" ht="12.75">
      <c r="A24" s="204"/>
      <c r="B24" s="208">
        <v>36647</v>
      </c>
      <c r="C24" s="209">
        <v>1579.871</v>
      </c>
      <c r="D24" s="209">
        <v>82.575</v>
      </c>
      <c r="E24" s="209">
        <v>57.978</v>
      </c>
      <c r="F24" s="209">
        <v>2721.452</v>
      </c>
      <c r="G24" s="209">
        <v>2775.69</v>
      </c>
      <c r="H24" s="209">
        <v>3053.259</v>
      </c>
      <c r="I24" s="209">
        <v>2145.186</v>
      </c>
      <c r="J24" s="207"/>
    </row>
    <row r="25" spans="1:10" ht="12.75">
      <c r="A25" s="204"/>
      <c r="B25" s="208">
        <v>36678</v>
      </c>
      <c r="C25" s="209">
        <v>1562.4</v>
      </c>
      <c r="D25" s="209">
        <v>24.597</v>
      </c>
      <c r="E25" s="209">
        <v>57.978</v>
      </c>
      <c r="F25" s="209">
        <v>2688.071</v>
      </c>
      <c r="G25" s="209">
        <v>2744.995</v>
      </c>
      <c r="H25" s="209">
        <v>3019.494</v>
      </c>
      <c r="I25" s="209">
        <v>2160.998</v>
      </c>
      <c r="J25" s="207"/>
    </row>
    <row r="26" spans="1:10" ht="12.75">
      <c r="A26" s="204"/>
      <c r="B26" s="208">
        <v>36708</v>
      </c>
      <c r="C26" s="209">
        <v>1555.452</v>
      </c>
      <c r="D26" s="209">
        <v>47.437</v>
      </c>
      <c r="E26" s="209">
        <v>47.437</v>
      </c>
      <c r="F26" s="209">
        <v>2688.071</v>
      </c>
      <c r="G26" s="209">
        <v>2732.787</v>
      </c>
      <c r="H26" s="209">
        <v>3006.066</v>
      </c>
      <c r="I26" s="209">
        <v>2192.623</v>
      </c>
      <c r="J26" s="207"/>
    </row>
    <row r="27" spans="1:10" ht="12.75">
      <c r="A27" s="204"/>
      <c r="B27" s="208">
        <v>36739</v>
      </c>
      <c r="C27" s="209">
        <v>1545.774</v>
      </c>
      <c r="D27" s="209">
        <v>33.381</v>
      </c>
      <c r="E27" s="209">
        <v>49.193</v>
      </c>
      <c r="F27" s="209">
        <v>2672.259</v>
      </c>
      <c r="G27" s="209">
        <v>2715.785</v>
      </c>
      <c r="H27" s="209">
        <v>2987.363</v>
      </c>
      <c r="I27" s="209">
        <v>2208.435</v>
      </c>
      <c r="J27" s="207"/>
    </row>
    <row r="28" spans="1:10" ht="12.75">
      <c r="A28" s="204"/>
      <c r="B28" s="208">
        <v>36770</v>
      </c>
      <c r="C28" s="209">
        <v>1528.167</v>
      </c>
      <c r="D28" s="209">
        <v>21.083</v>
      </c>
      <c r="E28" s="209">
        <v>68.519</v>
      </c>
      <c r="F28" s="209">
        <v>2624.822</v>
      </c>
      <c r="G28" s="209">
        <v>2684.85</v>
      </c>
      <c r="H28" s="209">
        <v>2953.335</v>
      </c>
      <c r="I28" s="209">
        <v>2217.219</v>
      </c>
      <c r="J28" s="207"/>
    </row>
    <row r="29" spans="1:10" ht="12.75">
      <c r="A29" s="204"/>
      <c r="B29" s="208">
        <v>36800</v>
      </c>
      <c r="C29" s="209">
        <v>1514.677</v>
      </c>
      <c r="D29" s="209">
        <v>40.409</v>
      </c>
      <c r="E29" s="209">
        <v>61.492</v>
      </c>
      <c r="F29" s="209">
        <v>2603.739</v>
      </c>
      <c r="G29" s="209">
        <v>2661.151</v>
      </c>
      <c r="H29" s="209">
        <v>2927.266</v>
      </c>
      <c r="I29" s="209">
        <v>2240.059</v>
      </c>
      <c r="J29" s="207"/>
    </row>
    <row r="30" spans="1:10" ht="12.75">
      <c r="A30" s="204"/>
      <c r="B30" s="208">
        <v>36831</v>
      </c>
      <c r="C30" s="209">
        <v>1499.133</v>
      </c>
      <c r="D30" s="209">
        <v>35.138</v>
      </c>
      <c r="E30" s="209">
        <v>36.895</v>
      </c>
      <c r="F30" s="209">
        <v>2601.982</v>
      </c>
      <c r="G30" s="209">
        <v>2633.841</v>
      </c>
      <c r="H30" s="209">
        <v>2897.225</v>
      </c>
      <c r="I30" s="209">
        <v>2261.142</v>
      </c>
      <c r="J30" s="207"/>
    </row>
    <row r="31" spans="1:10" ht="12.75">
      <c r="A31" s="204"/>
      <c r="B31" s="208">
        <v>36861</v>
      </c>
      <c r="C31" s="209">
        <v>1493.935</v>
      </c>
      <c r="D31" s="209">
        <v>24.597</v>
      </c>
      <c r="E31" s="209">
        <v>31.624</v>
      </c>
      <c r="F31" s="209">
        <v>2594.955</v>
      </c>
      <c r="G31" s="209">
        <v>2624.709</v>
      </c>
      <c r="H31" s="209">
        <v>2887.18</v>
      </c>
      <c r="I31" s="209">
        <v>2269.927</v>
      </c>
      <c r="J31" s="207"/>
    </row>
    <row r="32" spans="1:10" ht="12.75">
      <c r="A32" s="204"/>
      <c r="B32" s="208">
        <v>36892</v>
      </c>
      <c r="C32" s="209">
        <v>1494.258</v>
      </c>
      <c r="D32" s="209">
        <v>35.138</v>
      </c>
      <c r="E32" s="209">
        <v>40.409</v>
      </c>
      <c r="F32" s="209">
        <v>2589.684</v>
      </c>
      <c r="G32" s="209">
        <v>2625.275</v>
      </c>
      <c r="H32" s="209">
        <v>2887.803</v>
      </c>
      <c r="I32" s="209">
        <v>2299.794</v>
      </c>
      <c r="J32" s="207"/>
    </row>
    <row r="33" spans="1:10" ht="12.75">
      <c r="A33" s="204"/>
      <c r="B33" s="208">
        <v>36923</v>
      </c>
      <c r="C33" s="209">
        <v>1493.857</v>
      </c>
      <c r="D33" s="209">
        <v>38.652</v>
      </c>
      <c r="E33" s="209">
        <v>70.276</v>
      </c>
      <c r="F33" s="209">
        <v>2558.06</v>
      </c>
      <c r="G33" s="209">
        <v>2624.571</v>
      </c>
      <c r="H33" s="209">
        <v>2887.028</v>
      </c>
      <c r="I33" s="209">
        <v>2338.446</v>
      </c>
      <c r="J33" s="207"/>
    </row>
    <row r="34" spans="1:10" ht="12.75">
      <c r="A34" s="204"/>
      <c r="B34" s="208">
        <v>36951</v>
      </c>
      <c r="C34" s="209">
        <v>1473.839</v>
      </c>
      <c r="D34" s="209">
        <v>33.381</v>
      </c>
      <c r="E34" s="209">
        <v>59.735</v>
      </c>
      <c r="F34" s="209">
        <v>2531.706</v>
      </c>
      <c r="G34" s="209">
        <v>2589.401</v>
      </c>
      <c r="H34" s="209">
        <v>2848.341</v>
      </c>
      <c r="I34" s="209">
        <v>2368.313</v>
      </c>
      <c r="J34" s="207"/>
    </row>
    <row r="35" spans="1:10" ht="12.75">
      <c r="A35" s="204"/>
      <c r="B35" s="208">
        <v>36982</v>
      </c>
      <c r="C35" s="209">
        <v>1453.933</v>
      </c>
      <c r="D35" s="209">
        <v>28.111</v>
      </c>
      <c r="E35" s="209">
        <v>45.68</v>
      </c>
      <c r="F35" s="209">
        <v>2514.137</v>
      </c>
      <c r="G35" s="209">
        <v>2554.429</v>
      </c>
      <c r="H35" s="209">
        <v>2809.872</v>
      </c>
      <c r="I35" s="209">
        <v>2394.667</v>
      </c>
      <c r="J35" s="207"/>
    </row>
    <row r="36" spans="1:10" ht="12.75">
      <c r="A36" s="204"/>
      <c r="B36" s="208">
        <v>37012</v>
      </c>
      <c r="C36" s="209">
        <v>1456.903</v>
      </c>
      <c r="D36" s="209">
        <v>49.193</v>
      </c>
      <c r="E36" s="209">
        <v>40.409</v>
      </c>
      <c r="F36" s="209">
        <v>2522.921</v>
      </c>
      <c r="G36" s="209">
        <v>2559.647</v>
      </c>
      <c r="H36" s="209">
        <v>2815.611</v>
      </c>
      <c r="I36" s="209">
        <v>2442.104</v>
      </c>
      <c r="J36" s="207"/>
    </row>
    <row r="37" spans="1:10" ht="12.75">
      <c r="A37" s="204"/>
      <c r="B37" s="208">
        <v>37043</v>
      </c>
      <c r="C37" s="209">
        <v>1454.267</v>
      </c>
      <c r="D37" s="209">
        <v>38.652</v>
      </c>
      <c r="E37" s="209">
        <v>36.895</v>
      </c>
      <c r="F37" s="209">
        <v>2524.678</v>
      </c>
      <c r="G37" s="209">
        <v>2555.014</v>
      </c>
      <c r="H37" s="209">
        <v>2810.516</v>
      </c>
      <c r="I37" s="209">
        <v>2477.242</v>
      </c>
      <c r="J37" s="207"/>
    </row>
    <row r="38" spans="1:10" ht="12.75">
      <c r="A38" s="204"/>
      <c r="B38" s="208">
        <v>37073</v>
      </c>
      <c r="C38" s="209">
        <v>1464.387</v>
      </c>
      <c r="D38" s="209">
        <v>57.978</v>
      </c>
      <c r="E38" s="209">
        <v>49.193</v>
      </c>
      <c r="F38" s="209">
        <v>2533.463</v>
      </c>
      <c r="G38" s="209">
        <v>2572.795</v>
      </c>
      <c r="H38" s="209">
        <v>2830.074</v>
      </c>
      <c r="I38" s="209">
        <v>2533.463</v>
      </c>
      <c r="J38" s="207"/>
    </row>
    <row r="39" spans="2:9" ht="11.25">
      <c r="B39" s="211"/>
      <c r="C39" s="205"/>
      <c r="D39" s="205"/>
      <c r="E39" s="205"/>
      <c r="F39" s="205"/>
      <c r="G39" s="205"/>
      <c r="H39" s="205"/>
      <c r="I39" s="205"/>
    </row>
    <row r="40" ht="11.25">
      <c r="B40" s="212"/>
    </row>
    <row r="41" ht="11.25">
      <c r="B41" s="212"/>
    </row>
    <row r="42" ht="11.25">
      <c r="B42" s="212"/>
    </row>
    <row r="43" ht="11.25">
      <c r="B43" s="212"/>
    </row>
    <row r="44" ht="11.25">
      <c r="B44" s="212"/>
    </row>
    <row r="45" ht="11.25">
      <c r="B45" s="212"/>
    </row>
    <row r="46" ht="11.25">
      <c r="B46" s="212"/>
    </row>
    <row r="47" ht="11.25">
      <c r="B47" s="212"/>
    </row>
    <row r="48" ht="11.25">
      <c r="B48" s="212"/>
    </row>
    <row r="49" ht="11.25">
      <c r="B49" s="212"/>
    </row>
    <row r="50" ht="11.25">
      <c r="B50" s="212"/>
    </row>
    <row r="51" ht="11.25">
      <c r="B51" s="212"/>
    </row>
    <row r="52" ht="11.25">
      <c r="B52" s="212"/>
    </row>
    <row r="53" ht="11.25">
      <c r="B53" s="212"/>
    </row>
    <row r="54" ht="11.25">
      <c r="B54" s="212"/>
    </row>
    <row r="55" ht="11.25">
      <c r="B55" s="212"/>
    </row>
    <row r="56" ht="11.25">
      <c r="B56" s="212"/>
    </row>
    <row r="57" ht="11.25">
      <c r="B57" s="212"/>
    </row>
    <row r="58" ht="11.25">
      <c r="B58" s="212"/>
    </row>
    <row r="59" ht="11.25">
      <c r="B59" s="212"/>
    </row>
    <row r="60" ht="11.25">
      <c r="B60" s="212"/>
    </row>
    <row r="61" ht="11.25">
      <c r="B61" s="212"/>
    </row>
    <row r="62" ht="11.25">
      <c r="B62" s="212"/>
    </row>
    <row r="63" ht="11.25">
      <c r="B63" s="212"/>
    </row>
    <row r="64" ht="11.25">
      <c r="B64" s="212"/>
    </row>
    <row r="65" ht="11.25">
      <c r="B65" s="212"/>
    </row>
    <row r="66" ht="11.25">
      <c r="B66" s="212"/>
    </row>
    <row r="67" ht="11.25">
      <c r="B67" s="212"/>
    </row>
    <row r="68" ht="11.25">
      <c r="B68" s="212"/>
    </row>
    <row r="69" ht="11.25">
      <c r="B69" s="212"/>
    </row>
    <row r="70" ht="11.25">
      <c r="B70" s="212"/>
    </row>
    <row r="71" ht="11.25">
      <c r="B71" s="212"/>
    </row>
    <row r="72" ht="11.25">
      <c r="B72" s="212"/>
    </row>
    <row r="73" ht="11.25">
      <c r="B73" s="212"/>
    </row>
    <row r="74" ht="11.25">
      <c r="B74" s="2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D39"/>
  <sheetViews>
    <sheetView zoomScale="80" zoomScaleNormal="80" workbookViewId="0" topLeftCell="A1">
      <selection activeCell="B3" sqref="B3:C38"/>
    </sheetView>
  </sheetViews>
  <sheetFormatPr defaultColWidth="9.140625" defaultRowHeight="12.75"/>
  <cols>
    <col min="1" max="1" width="2.7109375" style="49" customWidth="1"/>
    <col min="2" max="3" width="11.8515625" style="49" customWidth="1"/>
    <col min="4" max="16384" width="9.140625" style="49" customWidth="1"/>
  </cols>
  <sheetData>
    <row r="2" spans="1:4" ht="11.25">
      <c r="A2" s="203"/>
      <c r="B2" s="53" t="s">
        <v>129</v>
      </c>
      <c r="C2" s="55" t="s">
        <v>131</v>
      </c>
      <c r="D2" s="207"/>
    </row>
    <row r="3" spans="1:4" ht="12.75">
      <c r="A3" s="204"/>
      <c r="B3" s="208">
        <v>36008</v>
      </c>
      <c r="C3" s="209">
        <v>1</v>
      </c>
      <c r="D3" s="207"/>
    </row>
    <row r="4" spans="1:4" ht="12.75">
      <c r="A4" s="204"/>
      <c r="B4" s="208">
        <v>36039</v>
      </c>
      <c r="C4" s="209">
        <v>1</v>
      </c>
      <c r="D4" s="207"/>
    </row>
    <row r="5" spans="1:4" ht="12.75">
      <c r="A5" s="204"/>
      <c r="B5" s="208">
        <v>36069</v>
      </c>
      <c r="C5" s="209">
        <v>1</v>
      </c>
      <c r="D5" s="207"/>
    </row>
    <row r="6" spans="1:4" ht="12.75">
      <c r="A6" s="204"/>
      <c r="B6" s="208">
        <v>36100</v>
      </c>
      <c r="C6" s="209">
        <v>1</v>
      </c>
      <c r="D6" s="207"/>
    </row>
    <row r="7" spans="1:4" ht="12.75">
      <c r="A7" s="204"/>
      <c r="B7" s="208">
        <v>36130</v>
      </c>
      <c r="C7" s="209">
        <v>1</v>
      </c>
      <c r="D7" s="207"/>
    </row>
    <row r="8" spans="1:4" ht="12.75">
      <c r="A8" s="204"/>
      <c r="B8" s="208">
        <v>36161</v>
      </c>
      <c r="C8" s="209">
        <v>1</v>
      </c>
      <c r="D8" s="207"/>
    </row>
    <row r="9" spans="1:4" ht="12.75">
      <c r="A9" s="204"/>
      <c r="B9" s="208">
        <v>36192</v>
      </c>
      <c r="C9" s="209">
        <v>1</v>
      </c>
      <c r="D9" s="207"/>
    </row>
    <row r="10" spans="1:4" ht="12.75">
      <c r="A10" s="204"/>
      <c r="B10" s="208">
        <v>36220</v>
      </c>
      <c r="C10" s="209">
        <v>1</v>
      </c>
      <c r="D10" s="207"/>
    </row>
    <row r="11" spans="1:4" ht="12.75">
      <c r="A11" s="204"/>
      <c r="B11" s="208">
        <v>36251</v>
      </c>
      <c r="C11" s="209">
        <v>1</v>
      </c>
      <c r="D11" s="207"/>
    </row>
    <row r="12" spans="1:4" ht="12.75">
      <c r="A12" s="204"/>
      <c r="B12" s="208">
        <v>36281</v>
      </c>
      <c r="C12" s="209">
        <v>1</v>
      </c>
      <c r="D12" s="207"/>
    </row>
    <row r="13" spans="1:4" ht="12.75">
      <c r="A13" s="204"/>
      <c r="B13" s="208">
        <v>36312</v>
      </c>
      <c r="C13" s="209">
        <v>1</v>
      </c>
      <c r="D13" s="207"/>
    </row>
    <row r="14" spans="1:4" ht="12.75">
      <c r="A14" s="204"/>
      <c r="B14" s="208">
        <v>36342</v>
      </c>
      <c r="C14" s="209">
        <v>1</v>
      </c>
      <c r="D14" s="207"/>
    </row>
    <row r="15" spans="1:4" ht="12.75">
      <c r="A15" s="204"/>
      <c r="B15" s="208">
        <v>36373</v>
      </c>
      <c r="C15" s="209">
        <v>1</v>
      </c>
      <c r="D15" s="207"/>
    </row>
    <row r="16" spans="1:4" ht="12.75">
      <c r="A16" s="204"/>
      <c r="B16" s="208">
        <v>36404</v>
      </c>
      <c r="C16" s="209">
        <v>1</v>
      </c>
      <c r="D16" s="207"/>
    </row>
    <row r="17" spans="1:4" ht="12.75">
      <c r="A17" s="204"/>
      <c r="B17" s="208">
        <v>36434</v>
      </c>
      <c r="C17" s="209">
        <v>1</v>
      </c>
      <c r="D17" s="207"/>
    </row>
    <row r="18" spans="1:4" ht="12.75">
      <c r="A18" s="204"/>
      <c r="B18" s="208">
        <v>36465</v>
      </c>
      <c r="C18" s="209">
        <v>1</v>
      </c>
      <c r="D18" s="207"/>
    </row>
    <row r="19" spans="1:4" ht="12.75">
      <c r="A19" s="204"/>
      <c r="B19" s="208">
        <v>36495</v>
      </c>
      <c r="C19" s="209">
        <v>1</v>
      </c>
      <c r="D19" s="207"/>
    </row>
    <row r="20" spans="1:4" ht="12.75">
      <c r="A20" s="204"/>
      <c r="B20" s="208">
        <v>36526</v>
      </c>
      <c r="C20" s="209">
        <v>1</v>
      </c>
      <c r="D20" s="207"/>
    </row>
    <row r="21" spans="1:4" ht="12.75">
      <c r="A21" s="204"/>
      <c r="B21" s="208">
        <v>36557</v>
      </c>
      <c r="C21" s="209">
        <v>1</v>
      </c>
      <c r="D21" s="207"/>
    </row>
    <row r="22" spans="1:4" ht="12.75">
      <c r="A22" s="204"/>
      <c r="B22" s="208">
        <v>36586</v>
      </c>
      <c r="C22" s="209">
        <v>1</v>
      </c>
      <c r="D22" s="207"/>
    </row>
    <row r="23" spans="1:4" ht="12.75">
      <c r="A23" s="204"/>
      <c r="B23" s="208">
        <v>36617</v>
      </c>
      <c r="C23" s="209">
        <v>1</v>
      </c>
      <c r="D23" s="207"/>
    </row>
    <row r="24" spans="1:4" ht="12.75">
      <c r="A24" s="204"/>
      <c r="B24" s="208">
        <v>36647</v>
      </c>
      <c r="C24" s="209">
        <v>1</v>
      </c>
      <c r="D24" s="207"/>
    </row>
    <row r="25" spans="1:4" ht="12.75">
      <c r="A25" s="204"/>
      <c r="B25" s="208">
        <v>36678</v>
      </c>
      <c r="C25" s="209">
        <v>1</v>
      </c>
      <c r="D25" s="207"/>
    </row>
    <row r="26" spans="1:4" ht="12.75">
      <c r="A26" s="204"/>
      <c r="B26" s="208">
        <v>36708</v>
      </c>
      <c r="C26" s="209">
        <v>1</v>
      </c>
      <c r="D26" s="207"/>
    </row>
    <row r="27" spans="1:4" ht="12.75">
      <c r="A27" s="204"/>
      <c r="B27" s="208">
        <v>36739</v>
      </c>
      <c r="C27" s="209">
        <v>1</v>
      </c>
      <c r="D27" s="207"/>
    </row>
    <row r="28" spans="1:4" ht="12.75">
      <c r="A28" s="204"/>
      <c r="B28" s="208">
        <v>36770</v>
      </c>
      <c r="C28" s="209">
        <v>1</v>
      </c>
      <c r="D28" s="207"/>
    </row>
    <row r="29" spans="1:4" ht="12.75">
      <c r="A29" s="204"/>
      <c r="B29" s="208">
        <v>36800</v>
      </c>
      <c r="C29" s="209">
        <v>1</v>
      </c>
      <c r="D29" s="207"/>
    </row>
    <row r="30" spans="1:4" ht="12.75">
      <c r="A30" s="204"/>
      <c r="B30" s="208">
        <v>36831</v>
      </c>
      <c r="C30" s="209">
        <v>1</v>
      </c>
      <c r="D30" s="207"/>
    </row>
    <row r="31" spans="1:4" ht="12.75">
      <c r="A31" s="204"/>
      <c r="B31" s="208">
        <v>36861</v>
      </c>
      <c r="C31" s="209">
        <v>1</v>
      </c>
      <c r="D31" s="207"/>
    </row>
    <row r="32" spans="1:4" ht="12.75">
      <c r="A32" s="204"/>
      <c r="B32" s="208">
        <v>36892</v>
      </c>
      <c r="C32" s="209">
        <v>1</v>
      </c>
      <c r="D32" s="207"/>
    </row>
    <row r="33" spans="1:4" ht="12.75">
      <c r="A33" s="204"/>
      <c r="B33" s="208">
        <v>36923</v>
      </c>
      <c r="C33" s="209">
        <v>1</v>
      </c>
      <c r="D33" s="207"/>
    </row>
    <row r="34" spans="1:4" ht="12.75">
      <c r="A34" s="204"/>
      <c r="B34" s="208">
        <v>36951</v>
      </c>
      <c r="C34" s="209">
        <v>1</v>
      </c>
      <c r="D34" s="207"/>
    </row>
    <row r="35" spans="1:4" ht="12.75">
      <c r="A35" s="204"/>
      <c r="B35" s="208">
        <v>36982</v>
      </c>
      <c r="C35" s="209">
        <v>1</v>
      </c>
      <c r="D35" s="207"/>
    </row>
    <row r="36" spans="1:4" ht="12.75">
      <c r="A36" s="204"/>
      <c r="B36" s="208">
        <v>37012</v>
      </c>
      <c r="C36" s="209">
        <v>1</v>
      </c>
      <c r="D36" s="207"/>
    </row>
    <row r="37" spans="1:4" ht="12.75">
      <c r="A37" s="204"/>
      <c r="B37" s="208">
        <v>37043</v>
      </c>
      <c r="C37" s="209">
        <v>1</v>
      </c>
      <c r="D37" s="207"/>
    </row>
    <row r="38" spans="1:4" ht="12.75">
      <c r="A38" s="204"/>
      <c r="B38" s="208">
        <v>37073</v>
      </c>
      <c r="C38" s="209">
        <v>1</v>
      </c>
      <c r="D38" s="207"/>
    </row>
    <row r="39" spans="2:3" ht="11.25">
      <c r="B39" s="205"/>
      <c r="C39" s="205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8"/>
  <sheetViews>
    <sheetView zoomScale="85" zoomScaleNormal="85" workbookViewId="0" topLeftCell="A1">
      <pane ySplit="8" topLeftCell="BM9" activePane="bottomLeft" state="frozen"/>
      <selection pane="topLeft" activeCell="F34" sqref="F34"/>
      <selection pane="bottomLeft" activeCell="A9" sqref="A9"/>
    </sheetView>
  </sheetViews>
  <sheetFormatPr defaultColWidth="9.140625" defaultRowHeight="12.75"/>
  <cols>
    <col min="1" max="1" width="10.7109375" style="1" customWidth="1"/>
    <col min="2" max="5" width="12.7109375" style="1" customWidth="1"/>
    <col min="6" max="6" width="2.28125" style="1" customWidth="1"/>
    <col min="7" max="11" width="12.7109375" style="1" customWidth="1"/>
    <col min="12" max="16384" width="9.140625" style="1" customWidth="1"/>
  </cols>
  <sheetData>
    <row r="1" ht="18">
      <c r="A1" s="2" t="str">
        <f>title1&amp;" - Linear Lag"&amp;IF(Basis="ibnp"," (reported = paid)","")</f>
        <v>BLOCK CLAIM LIABILITY REPORT - Linear Lag</v>
      </c>
    </row>
    <row r="2" ht="15.75">
      <c r="A2" s="9" t="str">
        <f>title2</f>
        <v>The Millennium-2000 Sample Life Insurance Company</v>
      </c>
    </row>
    <row r="3" ht="15.75">
      <c r="A3" s="9" t="str">
        <f>title3</f>
        <v>Arvind</v>
      </c>
    </row>
    <row r="4" ht="15">
      <c r="A4" s="33" t="str">
        <f>title4</f>
        <v>Experience Period:  01-Aug-1998  to  31-Jul-2001.  Runout Date:  31-Jul-2001</v>
      </c>
    </row>
    <row r="5" s="4" customFormat="1" ht="12.75"/>
    <row r="6" spans="2:11" s="4" customFormat="1" ht="12.75">
      <c r="B6" s="140" t="s">
        <v>148</v>
      </c>
      <c r="C6" s="41"/>
      <c r="D6" s="41"/>
      <c r="E6" s="42"/>
      <c r="H6" s="140" t="s">
        <v>149</v>
      </c>
      <c r="I6" s="41"/>
      <c r="J6" s="41"/>
      <c r="K6" s="42"/>
    </row>
    <row r="7" spans="1:11" s="4" customFormat="1" ht="12.75">
      <c r="A7" s="217" t="s">
        <v>58</v>
      </c>
      <c r="B7" s="46" t="s">
        <v>147</v>
      </c>
      <c r="C7" s="82"/>
      <c r="D7" s="46" t="s">
        <v>150</v>
      </c>
      <c r="E7" s="82"/>
      <c r="G7" s="217" t="s">
        <v>145</v>
      </c>
      <c r="H7" s="46" t="s">
        <v>147</v>
      </c>
      <c r="I7" s="82"/>
      <c r="J7" s="46" t="s">
        <v>150</v>
      </c>
      <c r="K7" s="82"/>
    </row>
    <row r="8" spans="1:11" s="4" customFormat="1" ht="12.75">
      <c r="A8" s="218"/>
      <c r="B8" s="16" t="s">
        <v>146</v>
      </c>
      <c r="C8" s="16" t="s">
        <v>77</v>
      </c>
      <c r="D8" s="16" t="s">
        <v>146</v>
      </c>
      <c r="E8" s="16" t="s">
        <v>77</v>
      </c>
      <c r="G8" s="218"/>
      <c r="H8" s="16" t="s">
        <v>146</v>
      </c>
      <c r="I8" s="16" t="s">
        <v>77</v>
      </c>
      <c r="J8" s="16" t="s">
        <v>146</v>
      </c>
      <c r="K8" s="16" t="s">
        <v>77</v>
      </c>
    </row>
    <row r="9" spans="1:11" ht="12.75">
      <c r="A9" s="32">
        <f>ExpDat</f>
        <v>36008</v>
      </c>
      <c r="B9" s="66">
        <f>IF($A9="","",IF(ISNA(VLOOKUP($A9,TriPaidLag,4,FALSE))=TRUE,"",VLOOKUP($A9,TriPaidLag,4,FALSE)))</f>
        <v>50333</v>
      </c>
      <c r="C9" s="66">
        <f>IF($A9="","",SUM(B$9:B9))</f>
        <v>50333</v>
      </c>
      <c r="D9" s="66">
        <f>IF($A9="","",IF(ISNA(VLOOKUP($A9,TriRepLag,4,FALSE))=TRUE,"",VLOOKUP($A9,TriRepLag,4,FALSE)))</f>
        <v>99219</v>
      </c>
      <c r="E9" s="66">
        <f>IF($A9="","",SUM(D$9:D9))</f>
        <v>99219</v>
      </c>
      <c r="F9" s="32"/>
      <c r="G9" s="32">
        <f>ExpDat</f>
        <v>36008</v>
      </c>
      <c r="H9" s="66">
        <f aca="true" t="shared" si="0" ref="H9:H57">IF($A9="","",VLOOKUP($G9,RunoutPaid,4,FALSE))</f>
        <v>50333</v>
      </c>
      <c r="I9" s="66">
        <f>IF($A9="","",SUM(H$9:H9))</f>
        <v>50333</v>
      </c>
      <c r="J9" s="66">
        <f>IF($A9="","",VLOOKUP($G9,RunoutRep,4,FALSE))</f>
        <v>25147</v>
      </c>
      <c r="K9" s="66">
        <f>IF($A9="","",SUM(J$9:J9))</f>
        <v>25147</v>
      </c>
    </row>
    <row r="10" spans="1:11" ht="12.75">
      <c r="A10" s="32">
        <f>IF($A9="","",IF(DATE(YEAR(A9),MONTH(A9)+1,1)&gt;RunDat,"",DATE(YEAR(A9),MONTH(A9)+1,1)))</f>
        <v>36039</v>
      </c>
      <c r="B10" s="66">
        <f aca="true" t="shared" si="1" ref="B10:B57">IF($A10="","",IF(ISNA(VLOOKUP($A10,TriPaidLag,4,FALSE))=TRUE,"",VLOOKUP($A10,TriPaidLag,4,FALSE)))</f>
        <v>50333</v>
      </c>
      <c r="C10" s="66">
        <f>IF($A10="","",SUM(B$9:B10))</f>
        <v>100666</v>
      </c>
      <c r="D10" s="66">
        <f aca="true" t="shared" si="2" ref="D10:D57">IF($A10="","",IF(ISNA(VLOOKUP($A10,TriRepLag,4,FALSE))=TRUE,"",VLOOKUP($A10,TriRepLag,4,FALSE)))</f>
        <v>99219</v>
      </c>
      <c r="E10" s="66">
        <f>IF($A10="","",SUM(D$9:D10))</f>
        <v>198438</v>
      </c>
      <c r="F10" s="32"/>
      <c r="G10" s="32">
        <f>IF($A9="","",IF(DATE(YEAR(G9),MONTH(G9)+1,1)&gt;RunDat,"",DATE(YEAR(G9),MONTH(G9)+1,1)))</f>
        <v>36039</v>
      </c>
      <c r="H10" s="66">
        <f t="shared" si="0"/>
        <v>50333</v>
      </c>
      <c r="I10" s="66">
        <f>IF($A10="","",SUM(H$9:H10))</f>
        <v>100666</v>
      </c>
      <c r="J10" s="66">
        <f aca="true" t="shared" si="3" ref="J10:J57">IF($A10="","",VLOOKUP($G10,RunoutRep,4,FALSE))</f>
        <v>105325</v>
      </c>
      <c r="K10" s="66">
        <f>IF($A10="","",SUM(J$9:J10))</f>
        <v>130472</v>
      </c>
    </row>
    <row r="11" spans="1:11" ht="12.75">
      <c r="A11" s="32">
        <f aca="true" t="shared" si="4" ref="A11:A57">IF($A10="","",IF(DATE(YEAR(A10),MONTH(A10)+1,1)&gt;RunDat,"",DATE(YEAR(A10),MONTH(A10)+1,1)))</f>
        <v>36069</v>
      </c>
      <c r="B11" s="66">
        <f t="shared" si="1"/>
        <v>221584</v>
      </c>
      <c r="C11" s="66">
        <f>IF($A11="","",SUM(B$9:B11))</f>
        <v>322250</v>
      </c>
      <c r="D11" s="66">
        <f t="shared" si="2"/>
        <v>292014</v>
      </c>
      <c r="E11" s="66">
        <f>IF($A11="","",SUM(D$9:D11))</f>
        <v>490452</v>
      </c>
      <c r="F11" s="32"/>
      <c r="G11" s="32">
        <f aca="true" t="shared" si="5" ref="G11:G57">IF($A10="","",IF(DATE(YEAR(G10),MONTH(G10)+1,1)&gt;RunDat,"",DATE(YEAR(G10),MONTH(G10)+1,1)))</f>
        <v>36069</v>
      </c>
      <c r="H11" s="66">
        <f t="shared" si="0"/>
        <v>20337</v>
      </c>
      <c r="I11" s="66">
        <f>IF($A11="","",SUM(H$9:H11))</f>
        <v>121003</v>
      </c>
      <c r="J11" s="66">
        <f t="shared" si="3"/>
        <v>98152</v>
      </c>
      <c r="K11" s="66">
        <f>IF($A11="","",SUM(J$9:J11))</f>
        <v>228624</v>
      </c>
    </row>
    <row r="12" spans="1:11" ht="12.75">
      <c r="A12" s="32">
        <f t="shared" si="4"/>
        <v>36100</v>
      </c>
      <c r="B12" s="66">
        <f t="shared" si="1"/>
        <v>221584</v>
      </c>
      <c r="C12" s="66">
        <f>IF($A12="","",SUM(B$9:B12))</f>
        <v>543834</v>
      </c>
      <c r="D12" s="66">
        <f t="shared" si="2"/>
        <v>292014</v>
      </c>
      <c r="E12" s="66">
        <f>IF($A12="","",SUM(D$9:D12))</f>
        <v>782466</v>
      </c>
      <c r="F12" s="32"/>
      <c r="G12" s="32">
        <f t="shared" si="5"/>
        <v>36100</v>
      </c>
      <c r="H12" s="66">
        <f t="shared" si="0"/>
        <v>216906</v>
      </c>
      <c r="I12" s="66">
        <f>IF($A12="","",SUM(H$9:H12))</f>
        <v>337909</v>
      </c>
      <c r="J12" s="66">
        <f t="shared" si="3"/>
        <v>207773</v>
      </c>
      <c r="K12" s="66">
        <f>IF($A12="","",SUM(J$9:J12))</f>
        <v>436397</v>
      </c>
    </row>
    <row r="13" spans="1:11" ht="12.75">
      <c r="A13" s="32">
        <f t="shared" si="4"/>
        <v>36130</v>
      </c>
      <c r="B13" s="66">
        <f t="shared" si="1"/>
        <v>198556</v>
      </c>
      <c r="C13" s="66">
        <f>IF($A13="","",SUM(B$9:B13))</f>
        <v>742390</v>
      </c>
      <c r="D13" s="66">
        <f t="shared" si="2"/>
        <v>109763</v>
      </c>
      <c r="E13" s="66">
        <f>IF($A13="","",SUM(D$9:D13))</f>
        <v>892229</v>
      </c>
      <c r="F13" s="32"/>
      <c r="G13" s="32">
        <f t="shared" si="5"/>
        <v>36130</v>
      </c>
      <c r="H13" s="66">
        <f t="shared" si="0"/>
        <v>199817</v>
      </c>
      <c r="I13" s="66">
        <f>IF($A13="","",SUM(H$9:H13))</f>
        <v>537726</v>
      </c>
      <c r="J13" s="66">
        <f t="shared" si="3"/>
        <v>200876</v>
      </c>
      <c r="K13" s="66">
        <f>IF($A13="","",SUM(J$9:J13))</f>
        <v>637273</v>
      </c>
    </row>
    <row r="14" spans="1:11" ht="12.75">
      <c r="A14" s="32">
        <f t="shared" si="4"/>
        <v>36161</v>
      </c>
      <c r="B14" s="66">
        <f t="shared" si="1"/>
        <v>198556</v>
      </c>
      <c r="C14" s="66">
        <f>IF($A14="","",SUM(B$9:B14))</f>
        <v>940946</v>
      </c>
      <c r="D14" s="66">
        <f t="shared" si="2"/>
        <v>109763</v>
      </c>
      <c r="E14" s="66">
        <f>IF($A14="","",SUM(D$9:D14))</f>
        <v>1001992</v>
      </c>
      <c r="F14" s="32"/>
      <c r="G14" s="32">
        <f t="shared" si="5"/>
        <v>36161</v>
      </c>
      <c r="H14" s="66">
        <f t="shared" si="0"/>
        <v>185807</v>
      </c>
      <c r="I14" s="66">
        <f>IF($A14="","",SUM(H$9:H14))</f>
        <v>723533</v>
      </c>
      <c r="J14" s="66">
        <f t="shared" si="3"/>
        <v>188191</v>
      </c>
      <c r="K14" s="66">
        <f>IF($A14="","",SUM(J$9:J14))</f>
        <v>825464</v>
      </c>
    </row>
    <row r="15" spans="1:11" ht="12.75">
      <c r="A15" s="32">
        <f t="shared" si="4"/>
        <v>36192</v>
      </c>
      <c r="B15" s="66">
        <f t="shared" si="1"/>
        <v>186494</v>
      </c>
      <c r="C15" s="66">
        <f>IF($A15="","",SUM(B$9:B15))</f>
        <v>1127440</v>
      </c>
      <c r="D15" s="66">
        <f t="shared" si="2"/>
        <v>164681</v>
      </c>
      <c r="E15" s="66">
        <f>IF($A15="","",SUM(D$9:D15))</f>
        <v>1166673</v>
      </c>
      <c r="F15" s="32"/>
      <c r="G15" s="32">
        <f t="shared" si="5"/>
        <v>36192</v>
      </c>
      <c r="H15" s="66">
        <f t="shared" si="0"/>
        <v>144004</v>
      </c>
      <c r="I15" s="66">
        <f>IF($A15="","",SUM(H$9:H15))</f>
        <v>867537</v>
      </c>
      <c r="J15" s="66">
        <f t="shared" si="3"/>
        <v>120546</v>
      </c>
      <c r="K15" s="66">
        <f>IF($A15="","",SUM(J$9:J15))</f>
        <v>946010</v>
      </c>
    </row>
    <row r="16" spans="1:11" ht="12.75">
      <c r="A16" s="32">
        <f t="shared" si="4"/>
        <v>36220</v>
      </c>
      <c r="B16" s="66">
        <f t="shared" si="1"/>
        <v>186494</v>
      </c>
      <c r="C16" s="66">
        <f>IF($A16="","",SUM(B$9:B16))</f>
        <v>1313934</v>
      </c>
      <c r="D16" s="66">
        <f t="shared" si="2"/>
        <v>164681</v>
      </c>
      <c r="E16" s="66">
        <f>IF($A16="","",SUM(D$9:D16))</f>
        <v>1331354</v>
      </c>
      <c r="F16" s="32"/>
      <c r="G16" s="32">
        <f t="shared" si="5"/>
        <v>36220</v>
      </c>
      <c r="H16" s="66">
        <f t="shared" si="0"/>
        <v>162948</v>
      </c>
      <c r="I16" s="66">
        <f>IF($A16="","",SUM(H$9:H16))</f>
        <v>1030485</v>
      </c>
      <c r="J16" s="66">
        <f t="shared" si="3"/>
        <v>188587</v>
      </c>
      <c r="K16" s="66">
        <f>IF($A16="","",SUM(J$9:J16))</f>
        <v>1134597</v>
      </c>
    </row>
    <row r="17" spans="1:11" ht="12.75">
      <c r="A17" s="32">
        <f t="shared" si="4"/>
        <v>36251</v>
      </c>
      <c r="B17" s="66">
        <f t="shared" si="1"/>
        <v>255986</v>
      </c>
      <c r="C17" s="66">
        <f>IF($A17="","",SUM(B$9:B17))</f>
        <v>1569920</v>
      </c>
      <c r="D17" s="66">
        <f t="shared" si="2"/>
        <v>171773</v>
      </c>
      <c r="E17" s="66">
        <f>IF($A17="","",SUM(D$9:D17))</f>
        <v>1503127</v>
      </c>
      <c r="F17" s="32"/>
      <c r="G17" s="32">
        <f t="shared" si="5"/>
        <v>36251</v>
      </c>
      <c r="H17" s="66">
        <f t="shared" si="0"/>
        <v>243415</v>
      </c>
      <c r="I17" s="66">
        <f>IF($A17="","",SUM(H$9:H17))</f>
        <v>1273900</v>
      </c>
      <c r="J17" s="66">
        <f t="shared" si="3"/>
        <v>140778</v>
      </c>
      <c r="K17" s="66">
        <f>IF($A17="","",SUM(J$9:J17))</f>
        <v>1275375</v>
      </c>
    </row>
    <row r="18" spans="1:11" ht="12.75">
      <c r="A18" s="32">
        <f t="shared" si="4"/>
        <v>36281</v>
      </c>
      <c r="B18" s="66">
        <f t="shared" si="1"/>
        <v>255986</v>
      </c>
      <c r="C18" s="66">
        <f>IF($A18="","",SUM(B$9:B18))</f>
        <v>1825906</v>
      </c>
      <c r="D18" s="66">
        <f t="shared" si="2"/>
        <v>171773</v>
      </c>
      <c r="E18" s="66">
        <f>IF($A18="","",SUM(D$9:D18))</f>
        <v>1674900</v>
      </c>
      <c r="F18" s="32"/>
      <c r="G18" s="32">
        <f t="shared" si="5"/>
        <v>36281</v>
      </c>
      <c r="H18" s="66">
        <f t="shared" si="0"/>
        <v>169481</v>
      </c>
      <c r="I18" s="66">
        <f>IF($A18="","",SUM(H$9:H18))</f>
        <v>1443381</v>
      </c>
      <c r="J18" s="66">
        <f t="shared" si="3"/>
        <v>134129</v>
      </c>
      <c r="K18" s="66">
        <f>IF($A18="","",SUM(J$9:J18))</f>
        <v>1409504</v>
      </c>
    </row>
    <row r="19" spans="1:11" ht="12.75">
      <c r="A19" s="32">
        <f t="shared" si="4"/>
        <v>36312</v>
      </c>
      <c r="B19" s="66">
        <f t="shared" si="1"/>
        <v>218545</v>
      </c>
      <c r="C19" s="66">
        <f>IF($A19="","",SUM(B$9:B19))</f>
        <v>2044451</v>
      </c>
      <c r="D19" s="66">
        <f t="shared" si="2"/>
        <v>294045</v>
      </c>
      <c r="E19" s="66">
        <f>IF($A19="","",SUM(D$9:D19))</f>
        <v>1968945</v>
      </c>
      <c r="F19" s="32"/>
      <c r="G19" s="32">
        <f t="shared" si="5"/>
        <v>36312</v>
      </c>
      <c r="H19" s="66">
        <f t="shared" si="0"/>
        <v>193309</v>
      </c>
      <c r="I19" s="66">
        <f>IF($A19="","",SUM(H$9:H19))</f>
        <v>1636690</v>
      </c>
      <c r="J19" s="66">
        <f t="shared" si="3"/>
        <v>135120</v>
      </c>
      <c r="K19" s="66">
        <f>IF($A19="","",SUM(J$9:J19))</f>
        <v>1544624</v>
      </c>
    </row>
    <row r="20" spans="1:11" ht="12.75">
      <c r="A20" s="32">
        <f t="shared" si="4"/>
        <v>36342</v>
      </c>
      <c r="B20" s="66">
        <f t="shared" si="1"/>
        <v>218545</v>
      </c>
      <c r="C20" s="66">
        <f>IF($A20="","",SUM(B$9:B20))</f>
        <v>2262996</v>
      </c>
      <c r="D20" s="66">
        <f t="shared" si="2"/>
        <v>294045</v>
      </c>
      <c r="E20" s="66">
        <f>IF($A20="","",SUM(D$9:D20))</f>
        <v>2262990</v>
      </c>
      <c r="F20" s="32"/>
      <c r="G20" s="32">
        <f t="shared" si="5"/>
        <v>36342</v>
      </c>
      <c r="H20" s="66">
        <f t="shared" si="0"/>
        <v>325214</v>
      </c>
      <c r="I20" s="66">
        <f>IF($A20="","",SUM(H$9:H20))</f>
        <v>1961904</v>
      </c>
      <c r="J20" s="66">
        <f t="shared" si="3"/>
        <v>317938</v>
      </c>
      <c r="K20" s="66">
        <f>IF($A20="","",SUM(J$9:J20))</f>
        <v>1862562</v>
      </c>
    </row>
    <row r="21" spans="1:11" ht="12.75">
      <c r="A21" s="32">
        <f t="shared" si="4"/>
        <v>36373</v>
      </c>
      <c r="B21" s="66">
        <f t="shared" si="1"/>
        <v>206958</v>
      </c>
      <c r="C21" s="66">
        <f>IF($A21="","",SUM(B$9:B21))</f>
        <v>2469954</v>
      </c>
      <c r="D21" s="66">
        <f t="shared" si="2"/>
        <v>111076</v>
      </c>
      <c r="E21" s="66">
        <f>IF($A21="","",SUM(D$9:D21))</f>
        <v>2374066</v>
      </c>
      <c r="F21" s="32"/>
      <c r="G21" s="32">
        <f t="shared" si="5"/>
        <v>36373</v>
      </c>
      <c r="H21" s="66">
        <f t="shared" si="0"/>
        <v>155277</v>
      </c>
      <c r="I21" s="66">
        <f>IF($A21="","",SUM(H$9:H21))</f>
        <v>2117181</v>
      </c>
      <c r="J21" s="66">
        <f t="shared" si="3"/>
        <v>203315</v>
      </c>
      <c r="K21" s="66">
        <f>IF($A21="","",SUM(J$9:J21))</f>
        <v>2065877</v>
      </c>
    </row>
    <row r="22" spans="1:11" ht="12.75">
      <c r="A22" s="32">
        <f t="shared" si="4"/>
        <v>36404</v>
      </c>
      <c r="B22" s="66">
        <f t="shared" si="1"/>
        <v>206958</v>
      </c>
      <c r="C22" s="66">
        <f>IF($A22="","",SUM(B$9:B22))</f>
        <v>2676912</v>
      </c>
      <c r="D22" s="66">
        <f t="shared" si="2"/>
        <v>111076</v>
      </c>
      <c r="E22" s="66">
        <f>IF($A22="","",SUM(D$9:D22))</f>
        <v>2485142</v>
      </c>
      <c r="F22" s="32"/>
      <c r="G22" s="32">
        <f t="shared" si="5"/>
        <v>36404</v>
      </c>
      <c r="H22" s="66">
        <f t="shared" si="0"/>
        <v>207559</v>
      </c>
      <c r="I22" s="66">
        <f>IF($A22="","",SUM(H$9:H22))</f>
        <v>2324740</v>
      </c>
      <c r="J22" s="66">
        <f t="shared" si="3"/>
        <v>119700</v>
      </c>
      <c r="K22" s="66">
        <f>IF($A22="","",SUM(J$9:J22))</f>
        <v>2185577</v>
      </c>
    </row>
    <row r="23" spans="1:11" ht="12.75">
      <c r="A23" s="32">
        <f t="shared" si="4"/>
        <v>36434</v>
      </c>
      <c r="B23" s="66">
        <f t="shared" si="1"/>
        <v>95546</v>
      </c>
      <c r="C23" s="66">
        <f>IF($A23="","",SUM(B$9:B23))</f>
        <v>2772458</v>
      </c>
      <c r="D23" s="66">
        <f t="shared" si="2"/>
        <v>171436</v>
      </c>
      <c r="E23" s="66">
        <f>IF($A23="","",SUM(D$9:D23))</f>
        <v>2656578</v>
      </c>
      <c r="F23" s="32"/>
      <c r="G23" s="32">
        <f t="shared" si="5"/>
        <v>36434</v>
      </c>
      <c r="H23" s="66">
        <f t="shared" si="0"/>
        <v>160501</v>
      </c>
      <c r="I23" s="66">
        <f>IF($A23="","",SUM(H$9:H23))</f>
        <v>2485241</v>
      </c>
      <c r="J23" s="66">
        <f t="shared" si="3"/>
        <v>146305</v>
      </c>
      <c r="K23" s="66">
        <f>IF($A23="","",SUM(J$9:J23))</f>
        <v>2331882</v>
      </c>
    </row>
    <row r="24" spans="1:11" ht="12.75">
      <c r="A24" s="32">
        <f t="shared" si="4"/>
        <v>36465</v>
      </c>
      <c r="B24" s="66">
        <f t="shared" si="1"/>
        <v>95546</v>
      </c>
      <c r="C24" s="66">
        <f>IF($A24="","",SUM(B$9:B24))</f>
        <v>2868004</v>
      </c>
      <c r="D24" s="66">
        <f t="shared" si="2"/>
        <v>171436</v>
      </c>
      <c r="E24" s="66">
        <f>IF($A24="","",SUM(D$9:D24))</f>
        <v>2828014</v>
      </c>
      <c r="F24" s="32"/>
      <c r="G24" s="32">
        <f t="shared" si="5"/>
        <v>36465</v>
      </c>
      <c r="H24" s="66">
        <f t="shared" si="0"/>
        <v>157261</v>
      </c>
      <c r="I24" s="66">
        <f>IF($A24="","",SUM(H$9:H24))</f>
        <v>2642502</v>
      </c>
      <c r="J24" s="66">
        <f t="shared" si="3"/>
        <v>167901</v>
      </c>
      <c r="K24" s="66">
        <f>IF($A24="","",SUM(J$9:J24))</f>
        <v>2499783</v>
      </c>
    </row>
    <row r="25" spans="1:11" ht="12.75">
      <c r="A25" s="32">
        <f t="shared" si="4"/>
        <v>36495</v>
      </c>
      <c r="B25" s="66">
        <f t="shared" si="1"/>
        <v>219368</v>
      </c>
      <c r="C25" s="66">
        <f>IF($A25="","",SUM(B$9:B25))</f>
        <v>3087372</v>
      </c>
      <c r="D25" s="66">
        <f t="shared" si="2"/>
        <v>111538</v>
      </c>
      <c r="E25" s="66">
        <f>IF($A25="","",SUM(D$9:D25))</f>
        <v>2939552</v>
      </c>
      <c r="F25" s="32"/>
      <c r="G25" s="32">
        <f t="shared" si="5"/>
        <v>36495</v>
      </c>
      <c r="H25" s="66">
        <f t="shared" si="0"/>
        <v>81345</v>
      </c>
      <c r="I25" s="66">
        <f>IF($A25="","",SUM(H$9:H25))</f>
        <v>2723847</v>
      </c>
      <c r="J25" s="66">
        <f t="shared" si="3"/>
        <v>198865</v>
      </c>
      <c r="K25" s="66">
        <f>IF($A25="","",SUM(J$9:J25))</f>
        <v>2698648</v>
      </c>
    </row>
    <row r="26" spans="1:11" ht="12.75">
      <c r="A26" s="32">
        <f t="shared" si="4"/>
        <v>36526</v>
      </c>
      <c r="B26" s="66">
        <f t="shared" si="1"/>
        <v>219368</v>
      </c>
      <c r="C26" s="66">
        <f>IF($A26="","",SUM(B$9:B26))</f>
        <v>3306740</v>
      </c>
      <c r="D26" s="66">
        <f t="shared" si="2"/>
        <v>111538</v>
      </c>
      <c r="E26" s="66">
        <f>IF($A26="","",SUM(D$9:D26))</f>
        <v>3051090</v>
      </c>
      <c r="F26" s="32"/>
      <c r="G26" s="32">
        <f t="shared" si="5"/>
        <v>36526</v>
      </c>
      <c r="H26" s="66">
        <f t="shared" si="0"/>
        <v>166835</v>
      </c>
      <c r="I26" s="66">
        <f>IF($A26="","",SUM(H$9:H26))</f>
        <v>2890682</v>
      </c>
      <c r="J26" s="66">
        <f t="shared" si="3"/>
        <v>101456</v>
      </c>
      <c r="K26" s="66">
        <f>IF($A26="","",SUM(J$9:J26))</f>
        <v>2800104</v>
      </c>
    </row>
    <row r="27" spans="1:11" ht="12.75">
      <c r="A27" s="32">
        <f t="shared" si="4"/>
        <v>36557</v>
      </c>
      <c r="B27" s="66">
        <f t="shared" si="1"/>
        <v>318121</v>
      </c>
      <c r="C27" s="66">
        <f>IF($A27="","",SUM(B$9:B27))</f>
        <v>3624861</v>
      </c>
      <c r="D27" s="66">
        <f t="shared" si="2"/>
        <v>211563</v>
      </c>
      <c r="E27" s="66">
        <f>IF($A27="","",SUM(D$9:D27))</f>
        <v>3262653</v>
      </c>
      <c r="F27" s="32"/>
      <c r="G27" s="32">
        <f t="shared" si="5"/>
        <v>36557</v>
      </c>
      <c r="H27" s="66">
        <f t="shared" si="0"/>
        <v>288985</v>
      </c>
      <c r="I27" s="66">
        <f>IF($A27="","",SUM(H$9:H27))</f>
        <v>3179667</v>
      </c>
      <c r="J27" s="66">
        <f t="shared" si="3"/>
        <v>119738</v>
      </c>
      <c r="K27" s="66">
        <f>IF($A27="","",SUM(J$9:J27))</f>
        <v>2919842</v>
      </c>
    </row>
    <row r="28" spans="1:11" ht="12.75">
      <c r="A28" s="32">
        <f t="shared" si="4"/>
        <v>36586</v>
      </c>
      <c r="B28" s="66">
        <f t="shared" si="1"/>
        <v>318121</v>
      </c>
      <c r="C28" s="66">
        <f>IF($A28="","",SUM(B$9:B28))</f>
        <v>3942982</v>
      </c>
      <c r="D28" s="66">
        <f t="shared" si="2"/>
        <v>211563</v>
      </c>
      <c r="E28" s="66">
        <f>IF($A28="","",SUM(D$9:D28))</f>
        <v>3474216</v>
      </c>
      <c r="F28" s="32"/>
      <c r="G28" s="32">
        <f t="shared" si="5"/>
        <v>36586</v>
      </c>
      <c r="H28" s="66">
        <f t="shared" si="0"/>
        <v>157814</v>
      </c>
      <c r="I28" s="66">
        <f>IF($A28="","",SUM(H$9:H28))</f>
        <v>3337481</v>
      </c>
      <c r="J28" s="66">
        <f t="shared" si="3"/>
        <v>233855</v>
      </c>
      <c r="K28" s="66">
        <f>IF($A28="","",SUM(J$9:J28))</f>
        <v>3153697</v>
      </c>
    </row>
    <row r="29" spans="1:11" ht="12.75">
      <c r="A29" s="32">
        <f t="shared" si="4"/>
        <v>36617</v>
      </c>
      <c r="B29" s="66">
        <f t="shared" si="1"/>
        <v>194291</v>
      </c>
      <c r="C29" s="66">
        <f>IF($A29="","",SUM(B$9:B29))</f>
        <v>4137273</v>
      </c>
      <c r="D29" s="66">
        <f t="shared" si="2"/>
        <v>183194</v>
      </c>
      <c r="E29" s="66">
        <f>IF($A29="","",SUM(D$9:D29))</f>
        <v>3657410</v>
      </c>
      <c r="F29" s="32"/>
      <c r="G29" s="32">
        <f t="shared" si="5"/>
        <v>36617</v>
      </c>
      <c r="H29" s="66">
        <f t="shared" si="0"/>
        <v>266552</v>
      </c>
      <c r="I29" s="66">
        <f>IF($A29="","",SUM(H$9:H29))</f>
        <v>3604033</v>
      </c>
      <c r="J29" s="66">
        <f t="shared" si="3"/>
        <v>197783</v>
      </c>
      <c r="K29" s="66">
        <f>IF($A29="","",SUM(J$9:J29))</f>
        <v>3351480</v>
      </c>
    </row>
    <row r="30" spans="1:11" ht="12.75">
      <c r="A30" s="32">
        <f t="shared" si="4"/>
        <v>36647</v>
      </c>
      <c r="B30" s="66">
        <f t="shared" si="1"/>
        <v>194291</v>
      </c>
      <c r="C30" s="66">
        <f>IF($A30="","",SUM(B$9:B30))</f>
        <v>4331564</v>
      </c>
      <c r="D30" s="66">
        <f t="shared" si="2"/>
        <v>183194</v>
      </c>
      <c r="E30" s="66">
        <f>IF($A30="","",SUM(D$9:D30))</f>
        <v>3840604</v>
      </c>
      <c r="F30" s="32"/>
      <c r="G30" s="32">
        <f t="shared" si="5"/>
        <v>36647</v>
      </c>
      <c r="H30" s="66">
        <f t="shared" si="0"/>
        <v>289221</v>
      </c>
      <c r="I30" s="66">
        <f>IF($A30="","",SUM(H$9:H30))</f>
        <v>3893254</v>
      </c>
      <c r="J30" s="66">
        <f t="shared" si="3"/>
        <v>212998</v>
      </c>
      <c r="K30" s="66">
        <f>IF($A30="","",SUM(J$9:J30))</f>
        <v>3564478</v>
      </c>
    </row>
    <row r="31" spans="1:11" ht="12.75">
      <c r="A31" s="32">
        <f t="shared" si="4"/>
        <v>36678</v>
      </c>
      <c r="B31" s="66">
        <f t="shared" si="1"/>
        <v>295608</v>
      </c>
      <c r="C31" s="66">
        <f>IF($A31="","",SUM(B$9:B31))</f>
        <v>4627172</v>
      </c>
      <c r="D31" s="66">
        <f t="shared" si="2"/>
        <v>329297</v>
      </c>
      <c r="E31" s="66">
        <f>IF($A31="","",SUM(D$9:D31))</f>
        <v>4169901</v>
      </c>
      <c r="F31" s="32"/>
      <c r="G31" s="32">
        <f t="shared" si="5"/>
        <v>36678</v>
      </c>
      <c r="H31" s="66">
        <f t="shared" si="0"/>
        <v>239050</v>
      </c>
      <c r="I31" s="66">
        <f>IF($A31="","",SUM(H$9:H31))</f>
        <v>4132304</v>
      </c>
      <c r="J31" s="66">
        <f t="shared" si="3"/>
        <v>112659</v>
      </c>
      <c r="K31" s="66">
        <f>IF($A31="","",SUM(J$9:J31))</f>
        <v>3677137</v>
      </c>
    </row>
    <row r="32" spans="1:11" ht="12.75">
      <c r="A32" s="32">
        <f t="shared" si="4"/>
        <v>36708</v>
      </c>
      <c r="B32" s="66">
        <f t="shared" si="1"/>
        <v>295608</v>
      </c>
      <c r="C32" s="66">
        <f>IF($A32="","",SUM(B$9:B32))</f>
        <v>4922780</v>
      </c>
      <c r="D32" s="66">
        <f t="shared" si="2"/>
        <v>329297</v>
      </c>
      <c r="E32" s="66">
        <f>IF($A32="","",SUM(D$9:D32))</f>
        <v>4499198</v>
      </c>
      <c r="F32" s="32"/>
      <c r="G32" s="32">
        <f t="shared" si="5"/>
        <v>36708</v>
      </c>
      <c r="H32" s="66">
        <f t="shared" si="0"/>
        <v>276239</v>
      </c>
      <c r="I32" s="66">
        <f>IF($A32="","",SUM(H$9:H32))</f>
        <v>4408543</v>
      </c>
      <c r="J32" s="66">
        <f t="shared" si="3"/>
        <v>170542</v>
      </c>
      <c r="K32" s="66">
        <f>IF($A32="","",SUM(J$9:J32))</f>
        <v>3847679</v>
      </c>
    </row>
    <row r="33" spans="1:11" ht="12.75">
      <c r="A33" s="32">
        <f t="shared" si="4"/>
        <v>36739</v>
      </c>
      <c r="B33" s="66">
        <f t="shared" si="1"/>
        <v>230602</v>
      </c>
      <c r="C33" s="66">
        <f>IF($A33="","",SUM(B$9:B33))</f>
        <v>5153382</v>
      </c>
      <c r="D33" s="66">
        <f t="shared" si="2"/>
        <v>281510</v>
      </c>
      <c r="E33" s="66">
        <f>IF($A33="","",SUM(D$9:D33))</f>
        <v>4780708</v>
      </c>
      <c r="F33" s="32"/>
      <c r="G33" s="32">
        <f t="shared" si="5"/>
        <v>36739</v>
      </c>
      <c r="H33" s="66">
        <f t="shared" si="0"/>
        <v>303902</v>
      </c>
      <c r="I33" s="66">
        <f>IF($A33="","",SUM(H$9:H33))</f>
        <v>4712445</v>
      </c>
      <c r="J33" s="66">
        <f t="shared" si="3"/>
        <v>243611</v>
      </c>
      <c r="K33" s="66">
        <f>IF($A33="","",SUM(J$9:J33))</f>
        <v>4091290</v>
      </c>
    </row>
    <row r="34" spans="1:11" ht="12.75">
      <c r="A34" s="32">
        <f t="shared" si="4"/>
        <v>36770</v>
      </c>
      <c r="B34" s="66">
        <f t="shared" si="1"/>
        <v>230602</v>
      </c>
      <c r="C34" s="66">
        <f>IF($A34="","",SUM(B$9:B34))</f>
        <v>5383984</v>
      </c>
      <c r="D34" s="66">
        <f t="shared" si="2"/>
        <v>281510</v>
      </c>
      <c r="E34" s="66">
        <f>IF($A34="","",SUM(D$9:D34))</f>
        <v>5062218</v>
      </c>
      <c r="F34" s="32"/>
      <c r="G34" s="32">
        <f t="shared" si="5"/>
        <v>36770</v>
      </c>
      <c r="H34" s="66">
        <f t="shared" si="0"/>
        <v>175175</v>
      </c>
      <c r="I34" s="66">
        <f>IF($A34="","",SUM(H$9:H34))</f>
        <v>4887620</v>
      </c>
      <c r="J34" s="66">
        <f t="shared" si="3"/>
        <v>295149</v>
      </c>
      <c r="K34" s="66">
        <f>IF($A34="","",SUM(J$9:J34))</f>
        <v>4386439</v>
      </c>
    </row>
    <row r="35" spans="1:11" ht="12.75" customHeight="1">
      <c r="A35" s="32">
        <f t="shared" si="4"/>
        <v>36800</v>
      </c>
      <c r="B35" s="66">
        <f t="shared" si="1"/>
        <v>186976</v>
      </c>
      <c r="C35" s="66">
        <f>IF($A35="","",SUM(B$9:B35))</f>
        <v>5570960</v>
      </c>
      <c r="D35" s="66">
        <f t="shared" si="2"/>
        <v>183309</v>
      </c>
      <c r="E35" s="66">
        <f>IF($A35="","",SUM(D$9:D35))</f>
        <v>5245527</v>
      </c>
      <c r="F35" s="32"/>
      <c r="G35" s="32">
        <f t="shared" si="5"/>
        <v>36800</v>
      </c>
      <c r="H35" s="66">
        <f t="shared" si="0"/>
        <v>340628</v>
      </c>
      <c r="I35" s="66">
        <f>IF($A35="","",SUM(H$9:H35))</f>
        <v>5228248</v>
      </c>
      <c r="J35" s="66">
        <f t="shared" si="3"/>
        <v>344988</v>
      </c>
      <c r="K35" s="66">
        <f>IF($A35="","",SUM(J$9:J35))</f>
        <v>4731427</v>
      </c>
    </row>
    <row r="36" spans="1:11" ht="12.75">
      <c r="A36" s="32">
        <f t="shared" si="4"/>
        <v>36831</v>
      </c>
      <c r="B36" s="66">
        <f t="shared" si="1"/>
        <v>186976</v>
      </c>
      <c r="C36" s="66">
        <f>IF($A36="","",SUM(B$9:B36))</f>
        <v>5757936</v>
      </c>
      <c r="D36" s="66">
        <f t="shared" si="2"/>
        <v>183309</v>
      </c>
      <c r="E36" s="66">
        <f>IF($A36="","",SUM(D$9:D36))</f>
        <v>5428836</v>
      </c>
      <c r="F36" s="32"/>
      <c r="G36" s="32">
        <f t="shared" si="5"/>
        <v>36831</v>
      </c>
      <c r="H36" s="66">
        <f t="shared" si="0"/>
        <v>111845</v>
      </c>
      <c r="I36" s="66">
        <f>IF($A36="","",SUM(H$9:H36))</f>
        <v>5340093</v>
      </c>
      <c r="J36" s="66">
        <f t="shared" si="3"/>
        <v>202345</v>
      </c>
      <c r="K36" s="66">
        <f>IF($A36="","",SUM(J$9:J36))</f>
        <v>4933772</v>
      </c>
    </row>
    <row r="37" spans="1:11" ht="12.75">
      <c r="A37" s="32">
        <f t="shared" si="4"/>
        <v>36861</v>
      </c>
      <c r="B37" s="66">
        <f t="shared" si="1"/>
        <v>146038</v>
      </c>
      <c r="C37" s="66">
        <f>IF($A37="","",SUM(B$9:B37))</f>
        <v>5903974</v>
      </c>
      <c r="D37" s="66">
        <f t="shared" si="2"/>
        <v>83695</v>
      </c>
      <c r="E37" s="66">
        <f>IF($A37="","",SUM(D$9:D37))</f>
        <v>5512531</v>
      </c>
      <c r="F37" s="32"/>
      <c r="G37" s="32">
        <f t="shared" si="5"/>
        <v>36861</v>
      </c>
      <c r="H37" s="66">
        <f t="shared" si="0"/>
        <v>178569</v>
      </c>
      <c r="I37" s="66">
        <f>IF($A37="","",SUM(H$9:H37))</f>
        <v>5518662</v>
      </c>
      <c r="J37" s="66">
        <f t="shared" si="3"/>
        <v>216483</v>
      </c>
      <c r="K37" s="66">
        <f>IF($A37="","",SUM(J$9:J37))</f>
        <v>5150255</v>
      </c>
    </row>
    <row r="38" spans="1:11" ht="12.75">
      <c r="A38" s="32">
        <f t="shared" si="4"/>
        <v>36892</v>
      </c>
      <c r="B38" s="66">
        <f t="shared" si="1"/>
        <v>146038</v>
      </c>
      <c r="C38" s="66">
        <f>IF($A38="","",SUM(B$9:B38))</f>
        <v>6050012</v>
      </c>
      <c r="D38" s="66">
        <f t="shared" si="2"/>
        <v>83695</v>
      </c>
      <c r="E38" s="66">
        <f>IF($A38="","",SUM(D$9:D38))</f>
        <v>5596226</v>
      </c>
      <c r="F38" s="32"/>
      <c r="G38" s="32">
        <f t="shared" si="5"/>
        <v>36892</v>
      </c>
      <c r="H38" s="66">
        <f t="shared" si="0"/>
        <v>209740</v>
      </c>
      <c r="I38" s="66">
        <f>IF($A38="","",SUM(H$9:H38))</f>
        <v>5728402</v>
      </c>
      <c r="J38" s="66">
        <f t="shared" si="3"/>
        <v>166798</v>
      </c>
      <c r="K38" s="66">
        <f>IF($A38="","",SUM(J$9:J38))</f>
        <v>5317053</v>
      </c>
    </row>
    <row r="39" spans="1:11" ht="12.75">
      <c r="A39" s="32">
        <f t="shared" si="4"/>
        <v>36923</v>
      </c>
      <c r="B39" s="66">
        <f t="shared" si="1"/>
        <v>82703</v>
      </c>
      <c r="C39" s="66">
        <f>IF($A39="","",SUM(B$9:B39))</f>
        <v>6132715</v>
      </c>
      <c r="D39" s="66">
        <f t="shared" si="2"/>
        <v>140421</v>
      </c>
      <c r="E39" s="66">
        <f>IF($A39="","",SUM(D$9:D39))</f>
        <v>5736647</v>
      </c>
      <c r="F39" s="32"/>
      <c r="G39" s="32">
        <f t="shared" si="5"/>
        <v>36923</v>
      </c>
      <c r="H39" s="66">
        <f t="shared" si="0"/>
        <v>159131</v>
      </c>
      <c r="I39" s="66">
        <f>IF($A39="","",SUM(H$9:H39))</f>
        <v>5887533</v>
      </c>
      <c r="J39" s="66">
        <f t="shared" si="3"/>
        <v>136721</v>
      </c>
      <c r="K39" s="66">
        <f>IF($A39="","",SUM(J$9:J39))</f>
        <v>5453774</v>
      </c>
    </row>
    <row r="40" spans="1:11" ht="12.75">
      <c r="A40" s="32">
        <f t="shared" si="4"/>
        <v>36951</v>
      </c>
      <c r="B40" s="66">
        <f t="shared" si="1"/>
        <v>82703</v>
      </c>
      <c r="C40" s="66">
        <f>IF($A40="","",SUM(B$9:B40))</f>
        <v>6215418</v>
      </c>
      <c r="D40" s="66">
        <f t="shared" si="2"/>
        <v>140421</v>
      </c>
      <c r="E40" s="66">
        <f>IF($A40="","",SUM(D$9:D40))</f>
        <v>5877068</v>
      </c>
      <c r="F40" s="32"/>
      <c r="G40" s="32">
        <f t="shared" si="5"/>
        <v>36951</v>
      </c>
      <c r="H40" s="66">
        <f t="shared" si="0"/>
        <v>103237</v>
      </c>
      <c r="I40" s="66">
        <f>IF($A40="","",SUM(H$9:H40))</f>
        <v>5990770</v>
      </c>
      <c r="J40" s="66">
        <f t="shared" si="3"/>
        <v>78419</v>
      </c>
      <c r="K40" s="66">
        <f>IF($A40="","",SUM(J$9:J40))</f>
        <v>5532193</v>
      </c>
    </row>
    <row r="41" spans="1:11" ht="12.75">
      <c r="A41" s="32">
        <f t="shared" si="4"/>
        <v>36982</v>
      </c>
      <c r="B41" s="66">
        <f t="shared" si="1"/>
        <v>52143</v>
      </c>
      <c r="C41" s="66">
        <f>IF($A41="","",SUM(B$9:B41))</f>
        <v>6267561</v>
      </c>
      <c r="D41" s="66">
        <f t="shared" si="2"/>
        <v>122179</v>
      </c>
      <c r="E41" s="66">
        <f>IF($A41="","",SUM(D$9:D41))</f>
        <v>5999247</v>
      </c>
      <c r="F41" s="32"/>
      <c r="G41" s="32">
        <f t="shared" si="5"/>
        <v>36982</v>
      </c>
      <c r="H41" s="66">
        <f t="shared" si="0"/>
        <v>104668</v>
      </c>
      <c r="I41" s="66">
        <f>IF($A41="","",SUM(H$9:H41))</f>
        <v>6095438</v>
      </c>
      <c r="J41" s="66">
        <f t="shared" si="3"/>
        <v>114270</v>
      </c>
      <c r="K41" s="66">
        <f>IF($A41="","",SUM(J$9:J41))</f>
        <v>5646463</v>
      </c>
    </row>
    <row r="42" spans="1:11" ht="12.75">
      <c r="A42" s="32">
        <f t="shared" si="4"/>
        <v>37012</v>
      </c>
      <c r="B42" s="66">
        <f t="shared" si="1"/>
        <v>52143</v>
      </c>
      <c r="C42" s="66">
        <f>IF($A42="","",SUM(B$9:B42))</f>
        <v>6319704</v>
      </c>
      <c r="D42" s="66">
        <f t="shared" si="2"/>
        <v>122179</v>
      </c>
      <c r="E42" s="66">
        <f>IF($A42="","",SUM(D$9:D42))</f>
        <v>6121426</v>
      </c>
      <c r="F42" s="32"/>
      <c r="G42" s="32">
        <f t="shared" si="5"/>
        <v>37012</v>
      </c>
      <c r="H42" s="66">
        <f t="shared" si="0"/>
        <v>75719</v>
      </c>
      <c r="I42" s="66">
        <f>IF($A42="","",SUM(H$9:H42))</f>
        <v>6171157</v>
      </c>
      <c r="J42" s="66">
        <f t="shared" si="3"/>
        <v>141251</v>
      </c>
      <c r="K42" s="66">
        <f>IF($A42="","",SUM(J$9:J42))</f>
        <v>5787714</v>
      </c>
    </row>
    <row r="43" spans="1:11" ht="12.75">
      <c r="A43" s="32">
        <f t="shared" si="4"/>
        <v>37043</v>
      </c>
      <c r="B43" s="66">
        <f t="shared" si="1"/>
        <v>0</v>
      </c>
      <c r="C43" s="66">
        <f>IF($A43="","",SUM(B$9:B43))</f>
        <v>6319704</v>
      </c>
      <c r="D43" s="66">
        <f t="shared" si="2"/>
        <v>0</v>
      </c>
      <c r="E43" s="66">
        <f>IF($A43="","",SUM(D$9:D43))</f>
        <v>6121426</v>
      </c>
      <c r="F43" s="32"/>
      <c r="G43" s="32">
        <f t="shared" si="5"/>
        <v>37043</v>
      </c>
      <c r="H43" s="66">
        <f t="shared" si="0"/>
        <v>48861</v>
      </c>
      <c r="I43" s="66">
        <f>IF($A43="","",SUM(H$9:H43))</f>
        <v>6220018</v>
      </c>
      <c r="J43" s="66">
        <f t="shared" si="3"/>
        <v>175077</v>
      </c>
      <c r="K43" s="66">
        <f>IF($A43="","",SUM(J$9:J43))</f>
        <v>5962791</v>
      </c>
    </row>
    <row r="44" spans="1:11" ht="12.75">
      <c r="A44" s="32">
        <f t="shared" si="4"/>
        <v>37073</v>
      </c>
      <c r="B44" s="66">
        <f t="shared" si="1"/>
        <v>0</v>
      </c>
      <c r="C44" s="70">
        <f>IF($A44="","",SUM(B$9:B44))</f>
        <v>6319704</v>
      </c>
      <c r="D44" s="66">
        <f t="shared" si="2"/>
        <v>0</v>
      </c>
      <c r="E44" s="66">
        <f>IF($A44="","",SUM(D$9:D44))</f>
        <v>6121426</v>
      </c>
      <c r="F44" s="32"/>
      <c r="G44" s="32">
        <f t="shared" si="5"/>
        <v>37073</v>
      </c>
      <c r="H44" s="66">
        <f t="shared" si="0"/>
        <v>33348</v>
      </c>
      <c r="I44" s="70">
        <f>IF($A44="","",SUM(H$9:H44))</f>
        <v>6253366</v>
      </c>
      <c r="J44" s="66">
        <f t="shared" si="3"/>
        <v>58092</v>
      </c>
      <c r="K44" s="70">
        <f>IF($A44="","",SUM(J$9:J44))</f>
        <v>6020883</v>
      </c>
    </row>
    <row r="45" spans="1:11" ht="12.75">
      <c r="A45" s="32">
        <f t="shared" si="4"/>
      </c>
      <c r="B45" s="66">
        <f t="shared" si="1"/>
      </c>
      <c r="C45" s="70">
        <f>IF($A45="","",SUM(B$9:B45))</f>
      </c>
      <c r="D45" s="66">
        <f t="shared" si="2"/>
      </c>
      <c r="E45" s="66">
        <f>IF($A45="","",SUM(D$9:D45))</f>
      </c>
      <c r="G45" s="32">
        <f t="shared" si="5"/>
      </c>
      <c r="H45" s="66">
        <f t="shared" si="0"/>
      </c>
      <c r="I45" s="70">
        <f>IF($A45="","",SUM(H$9:H45))</f>
      </c>
      <c r="J45" s="66">
        <f t="shared" si="3"/>
      </c>
      <c r="K45" s="70">
        <f>IF($A45="","",SUM(J$9:J45))</f>
      </c>
    </row>
    <row r="46" spans="1:11" ht="12.75">
      <c r="A46" s="32">
        <f t="shared" si="4"/>
      </c>
      <c r="B46" s="66">
        <f t="shared" si="1"/>
      </c>
      <c r="C46" s="70">
        <f>IF($A46="","",SUM(B$9:B46))</f>
      </c>
      <c r="D46" s="66">
        <f t="shared" si="2"/>
      </c>
      <c r="E46" s="66">
        <f>IF($A46="","",SUM(D$9:D46))</f>
      </c>
      <c r="G46" s="32">
        <f t="shared" si="5"/>
      </c>
      <c r="H46" s="66">
        <f t="shared" si="0"/>
      </c>
      <c r="I46" s="70">
        <f>IF($A46="","",SUM(H$9:H46))</f>
      </c>
      <c r="J46" s="66">
        <f t="shared" si="3"/>
      </c>
      <c r="K46" s="70">
        <f>IF($A46="","",SUM(J$9:J46))</f>
      </c>
    </row>
    <row r="47" spans="1:11" ht="12.75">
      <c r="A47" s="32">
        <f t="shared" si="4"/>
      </c>
      <c r="B47" s="66">
        <f t="shared" si="1"/>
      </c>
      <c r="C47" s="70">
        <f>IF($A47="","",SUM(B$9:B47))</f>
      </c>
      <c r="D47" s="66">
        <f t="shared" si="2"/>
      </c>
      <c r="E47" s="66">
        <f>IF($A47="","",SUM(D$9:D47))</f>
      </c>
      <c r="G47" s="32">
        <f t="shared" si="5"/>
      </c>
      <c r="H47" s="66">
        <f t="shared" si="0"/>
      </c>
      <c r="I47" s="70">
        <f>IF($A47="","",SUM(H$9:H47))</f>
      </c>
      <c r="J47" s="66">
        <f t="shared" si="3"/>
      </c>
      <c r="K47" s="70">
        <f>IF($A47="","",SUM(J$9:J47))</f>
      </c>
    </row>
    <row r="48" spans="1:11" ht="12.75">
      <c r="A48" s="32">
        <f t="shared" si="4"/>
      </c>
      <c r="B48" s="66">
        <f t="shared" si="1"/>
      </c>
      <c r="C48" s="70">
        <f>IF($A48="","",SUM(B$9:B48))</f>
      </c>
      <c r="D48" s="66">
        <f t="shared" si="2"/>
      </c>
      <c r="E48" s="66">
        <f>IF($A48="","",SUM(D$9:D48))</f>
      </c>
      <c r="G48" s="32">
        <f t="shared" si="5"/>
      </c>
      <c r="H48" s="66">
        <f t="shared" si="0"/>
      </c>
      <c r="I48" s="70">
        <f>IF($A48="","",SUM(H$9:H48))</f>
      </c>
      <c r="J48" s="66">
        <f t="shared" si="3"/>
      </c>
      <c r="K48" s="70">
        <f>IF($A48="","",SUM(J$9:J48))</f>
      </c>
    </row>
    <row r="49" spans="1:11" ht="12.75">
      <c r="A49" s="32">
        <f t="shared" si="4"/>
      </c>
      <c r="B49" s="66">
        <f t="shared" si="1"/>
      </c>
      <c r="C49" s="70">
        <f>IF($A49="","",SUM(B$9:B49))</f>
      </c>
      <c r="D49" s="66">
        <f t="shared" si="2"/>
      </c>
      <c r="E49" s="66">
        <f>IF($A49="","",SUM(D$9:D49))</f>
      </c>
      <c r="G49" s="32">
        <f t="shared" si="5"/>
      </c>
      <c r="H49" s="66">
        <f t="shared" si="0"/>
      </c>
      <c r="I49" s="70">
        <f>IF($A49="","",SUM(H$9:H49))</f>
      </c>
      <c r="J49" s="66">
        <f t="shared" si="3"/>
      </c>
      <c r="K49" s="70">
        <f>IF($A49="","",SUM(J$9:J49))</f>
      </c>
    </row>
    <row r="50" spans="1:11" ht="12.75">
      <c r="A50" s="32">
        <f t="shared" si="4"/>
      </c>
      <c r="B50" s="66">
        <f t="shared" si="1"/>
      </c>
      <c r="C50" s="70">
        <f>IF($A50="","",SUM(B$9:B50))</f>
      </c>
      <c r="D50" s="66">
        <f t="shared" si="2"/>
      </c>
      <c r="E50" s="66">
        <f>IF($A50="","",SUM(D$9:D50))</f>
      </c>
      <c r="G50" s="32">
        <f t="shared" si="5"/>
      </c>
      <c r="H50" s="66">
        <f t="shared" si="0"/>
      </c>
      <c r="I50" s="70">
        <f>IF($A50="","",SUM(H$9:H50))</f>
      </c>
      <c r="J50" s="66">
        <f t="shared" si="3"/>
      </c>
      <c r="K50" s="70">
        <f>IF($A50="","",SUM(J$9:J50))</f>
      </c>
    </row>
    <row r="51" spans="1:11" ht="12.75">
      <c r="A51" s="32">
        <f t="shared" si="4"/>
      </c>
      <c r="B51" s="66">
        <f t="shared" si="1"/>
      </c>
      <c r="C51" s="70">
        <f>IF($A51="","",SUM(B$9:B51))</f>
      </c>
      <c r="D51" s="66">
        <f t="shared" si="2"/>
      </c>
      <c r="E51" s="66">
        <f>IF($A51="","",SUM(D$9:D51))</f>
      </c>
      <c r="G51" s="32">
        <f t="shared" si="5"/>
      </c>
      <c r="H51" s="66">
        <f t="shared" si="0"/>
      </c>
      <c r="I51" s="70">
        <f>IF($A51="","",SUM(H$9:H51))</f>
      </c>
      <c r="J51" s="66">
        <f t="shared" si="3"/>
      </c>
      <c r="K51" s="70">
        <f>IF($A51="","",SUM(J$9:J51))</f>
      </c>
    </row>
    <row r="52" spans="1:11" ht="12.75">
      <c r="A52" s="32">
        <f t="shared" si="4"/>
      </c>
      <c r="B52" s="66">
        <f t="shared" si="1"/>
      </c>
      <c r="C52" s="70">
        <f>IF($A52="","",SUM(B$9:B52))</f>
      </c>
      <c r="D52" s="66">
        <f t="shared" si="2"/>
      </c>
      <c r="E52" s="66">
        <f>IF($A52="","",SUM(D$9:D52))</f>
      </c>
      <c r="G52" s="32">
        <f t="shared" si="5"/>
      </c>
      <c r="H52" s="66">
        <f t="shared" si="0"/>
      </c>
      <c r="I52" s="70">
        <f>IF($A52="","",SUM(H$9:H52))</f>
      </c>
      <c r="J52" s="66">
        <f t="shared" si="3"/>
      </c>
      <c r="K52" s="70">
        <f>IF($A52="","",SUM(J$9:J52))</f>
      </c>
    </row>
    <row r="53" spans="1:11" ht="12.75">
      <c r="A53" s="32">
        <f t="shared" si="4"/>
      </c>
      <c r="B53" s="66">
        <f t="shared" si="1"/>
      </c>
      <c r="C53" s="70">
        <f>IF($A53="","",SUM(B$9:B53))</f>
      </c>
      <c r="D53" s="66">
        <f t="shared" si="2"/>
      </c>
      <c r="E53" s="66">
        <f>IF($A53="","",SUM(D$9:D53))</f>
      </c>
      <c r="G53" s="32">
        <f t="shared" si="5"/>
      </c>
      <c r="H53" s="66">
        <f t="shared" si="0"/>
      </c>
      <c r="I53" s="70">
        <f>IF($A53="","",SUM(H$9:H53))</f>
      </c>
      <c r="J53" s="66">
        <f t="shared" si="3"/>
      </c>
      <c r="K53" s="70">
        <f>IF($A53="","",SUM(J$9:J53))</f>
      </c>
    </row>
    <row r="54" spans="1:11" ht="12.75">
      <c r="A54" s="32">
        <f t="shared" si="4"/>
      </c>
      <c r="B54" s="66">
        <f t="shared" si="1"/>
      </c>
      <c r="C54" s="70">
        <f>IF($A54="","",SUM(B$9:B54))</f>
      </c>
      <c r="D54" s="66">
        <f t="shared" si="2"/>
      </c>
      <c r="E54" s="66">
        <f>IF($A54="","",SUM(D$9:D54))</f>
      </c>
      <c r="G54" s="32">
        <f t="shared" si="5"/>
      </c>
      <c r="H54" s="66">
        <f t="shared" si="0"/>
      </c>
      <c r="I54" s="70">
        <f>IF($A54="","",SUM(H$9:H54))</f>
      </c>
      <c r="J54" s="66">
        <f t="shared" si="3"/>
      </c>
      <c r="K54" s="70">
        <f>IF($A54="","",SUM(J$9:J54))</f>
      </c>
    </row>
    <row r="55" spans="1:11" ht="12.75">
      <c r="A55" s="32">
        <f t="shared" si="4"/>
      </c>
      <c r="B55" s="66">
        <f t="shared" si="1"/>
      </c>
      <c r="C55" s="70">
        <f>IF($A55="","",SUM(B$9:B55))</f>
      </c>
      <c r="D55" s="66">
        <f t="shared" si="2"/>
      </c>
      <c r="E55" s="66">
        <f>IF($A55="","",SUM(D$9:D55))</f>
      </c>
      <c r="G55" s="32">
        <f t="shared" si="5"/>
      </c>
      <c r="H55" s="66">
        <f t="shared" si="0"/>
      </c>
      <c r="I55" s="70">
        <f>IF($A55="","",SUM(H$9:H55))</f>
      </c>
      <c r="J55" s="66">
        <f t="shared" si="3"/>
      </c>
      <c r="K55" s="70">
        <f>IF($A55="","",SUM(J$9:J55))</f>
      </c>
    </row>
    <row r="56" spans="1:11" ht="12.75">
      <c r="A56" s="32">
        <f t="shared" si="4"/>
      </c>
      <c r="B56" s="66">
        <f t="shared" si="1"/>
      </c>
      <c r="C56" s="70">
        <f>IF($A56="","",SUM(B$9:B56))</f>
      </c>
      <c r="D56" s="66">
        <f t="shared" si="2"/>
      </c>
      <c r="E56" s="66">
        <f>IF($A56="","",SUM(D$9:D56))</f>
      </c>
      <c r="G56" s="32">
        <f t="shared" si="5"/>
      </c>
      <c r="H56" s="66">
        <f t="shared" si="0"/>
      </c>
      <c r="I56" s="70">
        <f>IF($A56="","",SUM(H$9:H56))</f>
      </c>
      <c r="J56" s="66">
        <f t="shared" si="3"/>
      </c>
      <c r="K56" s="70">
        <f>IF($A56="","",SUM(J$9:J56))</f>
      </c>
    </row>
    <row r="57" spans="1:11" ht="13.5" thickBot="1">
      <c r="A57" s="32">
        <f t="shared" si="4"/>
      </c>
      <c r="B57" s="66">
        <f t="shared" si="1"/>
      </c>
      <c r="C57" s="70">
        <f>IF($A57="","",SUM(B$9:B57))</f>
      </c>
      <c r="D57" s="66">
        <f t="shared" si="2"/>
      </c>
      <c r="E57" s="66">
        <f>IF($A57="","",SUM(D$9:D57))</f>
      </c>
      <c r="G57" s="32">
        <f t="shared" si="5"/>
      </c>
      <c r="H57" s="66">
        <f t="shared" si="0"/>
      </c>
      <c r="I57" s="70">
        <f>IF($A57="","",SUM(H$9:H57))</f>
      </c>
      <c r="J57" s="66">
        <f t="shared" si="3"/>
      </c>
      <c r="K57" s="70">
        <f>IF($A57="","",SUM(J$9:J57))</f>
      </c>
    </row>
    <row r="58" spans="1:11" ht="13.5" thickTop="1">
      <c r="A58" s="7"/>
      <c r="B58" s="72">
        <f>SUM(B9:B57)</f>
        <v>6319704</v>
      </c>
      <c r="C58" s="7"/>
      <c r="D58" s="72">
        <f>SUM(D9:D57)</f>
        <v>6121426</v>
      </c>
      <c r="E58" s="7"/>
      <c r="F58" s="7"/>
      <c r="G58" s="7"/>
      <c r="H58" s="72">
        <f>SUM(H9:H57)</f>
        <v>6253366</v>
      </c>
      <c r="I58" s="7"/>
      <c r="J58" s="72">
        <f>SUM(J9:J57)</f>
        <v>6020883</v>
      </c>
      <c r="K58" s="7"/>
    </row>
  </sheetData>
  <mergeCells count="2">
    <mergeCell ref="A7:A8"/>
    <mergeCell ref="G7:G8"/>
  </mergeCells>
  <printOptions/>
  <pageMargins left="0.75" right="0.75" top="1" bottom="1" header="0.5" footer="0.5"/>
  <pageSetup blackAndWhite="1" fitToHeight="1" fitToWidth="1" horizontalDpi="600" verticalDpi="600" orientation="portrait" pageOrder="overThenDown" scale="70" r:id="rId2"/>
  <headerFooter alignWithMargins="0">
    <oddFooter>&amp;L&amp;"Arial Narrow,Regular"&amp;9&amp;F &amp;A &amp;P / &amp;N
&amp;D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59"/>
  <sheetViews>
    <sheetView zoomScale="85" zoomScaleNormal="85" workbookViewId="0" topLeftCell="A1">
      <pane ySplit="8" topLeftCell="BM24" activePane="bottomLeft" state="frozen"/>
      <selection pane="topLeft" activeCell="F34" sqref="F34"/>
      <selection pane="bottomLeft" activeCell="A32" sqref="A32"/>
    </sheetView>
  </sheetViews>
  <sheetFormatPr defaultColWidth="9.140625" defaultRowHeight="12.75"/>
  <cols>
    <col min="1" max="1" width="10.7109375" style="1" customWidth="1"/>
    <col min="2" max="2" width="11.7109375" style="1" customWidth="1"/>
    <col min="3" max="9" width="12.7109375" style="1" customWidth="1"/>
    <col min="10" max="10" width="46.8515625" style="1" customWidth="1"/>
    <col min="11" max="12" width="12.7109375" style="1" customWidth="1"/>
    <col min="13" max="16384" width="9.140625" style="1" customWidth="1"/>
  </cols>
  <sheetData>
    <row r="1" ht="18">
      <c r="A1" s="2" t="str">
        <f>title1&amp;"- Block Exposure"</f>
        <v>BLOCK CLAIM LIABILITY REPORT- Block Exposure</v>
      </c>
    </row>
    <row r="2" ht="15.75">
      <c r="A2" s="9" t="str">
        <f>title2</f>
        <v>The Millennium-2000 Sample Life Insurance Company</v>
      </c>
    </row>
    <row r="3" ht="15.75">
      <c r="A3" s="9" t="str">
        <f>title3</f>
        <v>Arvind</v>
      </c>
    </row>
    <row r="4" ht="15">
      <c r="A4" s="33" t="str">
        <f>title4</f>
        <v>Experience Period:  01-Aug-1998  to  31-Jul-2001.  Runout Date:  31-Jul-2001</v>
      </c>
    </row>
    <row r="5" s="4" customFormat="1" ht="12.75"/>
    <row r="6" spans="1:12" s="138" customFormat="1" ht="12.75">
      <c r="A6" s="137" t="s">
        <v>178</v>
      </c>
      <c r="B6" s="137" t="s">
        <v>180</v>
      </c>
      <c r="C6" s="137" t="s">
        <v>183</v>
      </c>
      <c r="D6" s="137" t="s">
        <v>196</v>
      </c>
      <c r="E6" s="137" t="s">
        <v>197</v>
      </c>
      <c r="F6" s="137" t="s">
        <v>198</v>
      </c>
      <c r="G6" s="137" t="s">
        <v>199</v>
      </c>
      <c r="H6" s="137" t="s">
        <v>200</v>
      </c>
      <c r="I6" s="137" t="s">
        <v>201</v>
      </c>
      <c r="J6" s="137" t="s">
        <v>202</v>
      </c>
      <c r="K6" s="137" t="s">
        <v>203</v>
      </c>
      <c r="L6" s="137" t="s">
        <v>204</v>
      </c>
    </row>
    <row r="7" spans="1:12" s="4" customFormat="1" ht="12.75">
      <c r="A7" s="219" t="s">
        <v>167</v>
      </c>
      <c r="B7" s="217" t="s">
        <v>47</v>
      </c>
      <c r="C7" s="35" t="s">
        <v>61</v>
      </c>
      <c r="D7" s="10"/>
      <c r="E7" s="10"/>
      <c r="F7" s="11"/>
      <c r="G7" s="35" t="s">
        <v>53</v>
      </c>
      <c r="H7" s="12"/>
      <c r="I7" s="13"/>
      <c r="J7" s="217" t="s">
        <v>54</v>
      </c>
      <c r="K7" s="219" t="s">
        <v>55</v>
      </c>
      <c r="L7" s="217" t="s">
        <v>56</v>
      </c>
    </row>
    <row r="8" spans="1:12" s="5" customFormat="1" ht="25.5">
      <c r="A8" s="220"/>
      <c r="B8" s="218"/>
      <c r="C8" s="19" t="s">
        <v>48</v>
      </c>
      <c r="D8" s="19" t="s">
        <v>49</v>
      </c>
      <c r="E8" s="19" t="s">
        <v>163</v>
      </c>
      <c r="F8" s="19" t="s">
        <v>50</v>
      </c>
      <c r="G8" s="19" t="s">
        <v>51</v>
      </c>
      <c r="H8" s="19" t="s">
        <v>52</v>
      </c>
      <c r="I8" s="19" t="s">
        <v>73</v>
      </c>
      <c r="J8" s="218"/>
      <c r="K8" s="220"/>
      <c r="L8" s="218"/>
    </row>
    <row r="9" spans="1:12" ht="12.75">
      <c r="A9" s="32">
        <f>ExpDat</f>
        <v>36008</v>
      </c>
      <c r="B9" s="15">
        <f aca="true" t="shared" si="0" ref="B9:B44">IF($A9="","",VLOOKUP($A9,ExpDump,2,FALSE))</f>
        <v>1333</v>
      </c>
      <c r="C9" s="15">
        <f aca="true" t="shared" si="1" ref="C9:C44">IF($A9="","",VLOOKUP($A9,ExpDump,3,FALSE))</f>
        <v>93.116</v>
      </c>
      <c r="D9" s="15">
        <f aca="true" t="shared" si="2" ref="D9:D44">IF($A9="","",VLOOKUP($A9,ExpDump,4,FALSE))</f>
        <v>0</v>
      </c>
      <c r="E9" s="37">
        <f>IF(OR($A9="",$A9=ExpDat),"",F9-C9+D9-IF(ISNUMBER(F8)=TRUE(),F8,0))</f>
      </c>
      <c r="F9" s="15">
        <f aca="true" t="shared" si="3" ref="F9:F44">IF($A9="","",VLOOKUP($A9,ExpDump,5,FALSE))</f>
        <v>2341.96</v>
      </c>
      <c r="G9" s="15">
        <f aca="true" t="shared" si="4" ref="G9:G44">IF($A9="","",VLOOKUP($A9,ExpDump,6,FALSE))</f>
        <v>2341.96</v>
      </c>
      <c r="H9" s="15">
        <f aca="true" t="shared" si="5" ref="H9:H44">IF($A9="","",VLOOKUP($A9,ExpDump,7,FALSE))</f>
        <v>2576.156</v>
      </c>
      <c r="I9" s="36">
        <f>IF($A9="","",IF(G9=0,0,H9/G9))</f>
        <v>1.0999999999999999</v>
      </c>
      <c r="J9" s="1" t="str">
        <f>IF($A9="","",IF(I9=0,0,REPT("*",100*(I9-1))))</f>
        <v>*********</v>
      </c>
      <c r="K9" s="15">
        <f aca="true" t="shared" si="6" ref="K9:K44">IF($A9="","",VLOOKUP($A9,ExpDump,8,FALSE))</f>
        <v>1449.45</v>
      </c>
      <c r="L9" s="6">
        <f>IF($A9="","",IF(F9=0,0,K9/F9))</f>
        <v>0.618904678132846</v>
      </c>
    </row>
    <row r="10" spans="1:12" ht="12.75">
      <c r="A10" s="32">
        <f>IF($A9="","",IF(DATE(YEAR(A9),MONTH(A9)+1,1)&gt;ValDat,"",DATE(YEAR(A9),MONTH(A9)+1,1)))</f>
        <v>36039</v>
      </c>
      <c r="B10" s="15">
        <f t="shared" si="0"/>
        <v>1378.333</v>
      </c>
      <c r="C10" s="15">
        <f t="shared" si="1"/>
        <v>80.818</v>
      </c>
      <c r="D10" s="15">
        <f t="shared" si="2"/>
        <v>0</v>
      </c>
      <c r="E10" s="37">
        <f aca="true" t="shared" si="7" ref="E10:E44">IF(OR($A10="",$A10=ExpDat),"",F10-C10+D10-IF(ISNUMBER(F9)=TRUE(),F9,0))</f>
        <v>-4.547473508864641E-13</v>
      </c>
      <c r="F10" s="15">
        <f t="shared" si="3"/>
        <v>2422.778</v>
      </c>
      <c r="G10" s="15">
        <f t="shared" si="4"/>
        <v>2421.606</v>
      </c>
      <c r="H10" s="15">
        <f t="shared" si="5"/>
        <v>2663.767</v>
      </c>
      <c r="I10" s="36">
        <f aca="true" t="shared" si="8" ref="I10:I44">IF($A10="","",IF(G10=0,0,H10/G10))</f>
        <v>1.1000001651796367</v>
      </c>
      <c r="J10" s="1" t="str">
        <f aca="true" t="shared" si="9" ref="J10:J44">IF($A10="","",IF(I10=0,0,REPT("*",100*(I10-1))))</f>
        <v>**********</v>
      </c>
      <c r="K10" s="15">
        <f t="shared" si="6"/>
        <v>1484.588</v>
      </c>
      <c r="L10" s="6">
        <f aca="true" t="shared" si="10" ref="L10:L43">IF($A10="","",IF(F10=0,0,K10/F10))</f>
        <v>0.6127627046307998</v>
      </c>
    </row>
    <row r="11" spans="1:12" ht="12.75">
      <c r="A11" s="32">
        <f aca="true" t="shared" si="11" ref="A11:A44">IF($A10="","",IF(DATE(YEAR(A10),MONTH(A10)+1,1)&gt;ValDat,"",DATE(YEAR(A10),MONTH(A10)+1,1)))</f>
        <v>36069</v>
      </c>
      <c r="B11" s="15">
        <f t="shared" si="0"/>
        <v>1411.677</v>
      </c>
      <c r="C11" s="15">
        <f t="shared" si="1"/>
        <v>72.033</v>
      </c>
      <c r="D11" s="15">
        <f t="shared" si="2"/>
        <v>63.249</v>
      </c>
      <c r="E11" s="37">
        <f t="shared" si="7"/>
        <v>0</v>
      </c>
      <c r="F11" s="15">
        <f t="shared" si="3"/>
        <v>2431.562</v>
      </c>
      <c r="G11" s="15">
        <f t="shared" si="4"/>
        <v>2480.189</v>
      </c>
      <c r="H11" s="15">
        <f t="shared" si="5"/>
        <v>2728.208</v>
      </c>
      <c r="I11" s="36">
        <f t="shared" si="8"/>
        <v>1.100000040319508</v>
      </c>
      <c r="J11" s="1" t="str">
        <f t="shared" si="9"/>
        <v>**********</v>
      </c>
      <c r="K11" s="15">
        <f t="shared" si="6"/>
        <v>1521.483</v>
      </c>
      <c r="L11" s="6">
        <f t="shared" si="10"/>
        <v>0.6257224779791756</v>
      </c>
    </row>
    <row r="12" spans="1:12" ht="12.75">
      <c r="A12" s="32">
        <f t="shared" si="11"/>
        <v>36100</v>
      </c>
      <c r="B12" s="15">
        <f t="shared" si="0"/>
        <v>1438.867</v>
      </c>
      <c r="C12" s="15">
        <f t="shared" si="1"/>
        <v>101.901</v>
      </c>
      <c r="D12" s="15">
        <f t="shared" si="2"/>
        <v>33.381</v>
      </c>
      <c r="E12" s="37">
        <f t="shared" si="7"/>
        <v>0</v>
      </c>
      <c r="F12" s="15">
        <f t="shared" si="3"/>
        <v>2500.082</v>
      </c>
      <c r="G12" s="15">
        <f t="shared" si="4"/>
        <v>2527.958</v>
      </c>
      <c r="H12" s="15">
        <f t="shared" si="5"/>
        <v>2780.754</v>
      </c>
      <c r="I12" s="36">
        <f t="shared" si="8"/>
        <v>1.1000000791152384</v>
      </c>
      <c r="J12" s="1" t="str">
        <f t="shared" si="9"/>
        <v>**********</v>
      </c>
      <c r="K12" s="15">
        <f t="shared" si="6"/>
        <v>1556.621</v>
      </c>
      <c r="L12" s="6">
        <f t="shared" si="10"/>
        <v>0.6226279778023281</v>
      </c>
    </row>
    <row r="13" spans="1:12" ht="12.75">
      <c r="A13" s="32">
        <f t="shared" si="11"/>
        <v>36130</v>
      </c>
      <c r="B13" s="15">
        <f t="shared" si="0"/>
        <v>1462.516</v>
      </c>
      <c r="C13" s="15">
        <f t="shared" si="1"/>
        <v>75.547</v>
      </c>
      <c r="D13" s="15">
        <f t="shared" si="2"/>
        <v>40.409</v>
      </c>
      <c r="E13" s="37">
        <f t="shared" si="7"/>
        <v>0</v>
      </c>
      <c r="F13" s="15">
        <f t="shared" si="3"/>
        <v>2535.22</v>
      </c>
      <c r="G13" s="15">
        <f t="shared" si="4"/>
        <v>2569.508</v>
      </c>
      <c r="H13" s="15">
        <f t="shared" si="5"/>
        <v>2826.459</v>
      </c>
      <c r="I13" s="36">
        <f t="shared" si="8"/>
        <v>1.1000000778359125</v>
      </c>
      <c r="J13" s="1" t="str">
        <f t="shared" si="9"/>
        <v>**********</v>
      </c>
      <c r="K13" s="15">
        <f t="shared" si="6"/>
        <v>1579.461</v>
      </c>
      <c r="L13" s="6">
        <f t="shared" si="10"/>
        <v>0.6230074707520452</v>
      </c>
    </row>
    <row r="14" spans="1:12" ht="12.75">
      <c r="A14" s="32">
        <f t="shared" si="11"/>
        <v>36161</v>
      </c>
      <c r="B14" s="15">
        <f t="shared" si="0"/>
        <v>1466.968</v>
      </c>
      <c r="C14" s="15">
        <f t="shared" si="1"/>
        <v>42.166</v>
      </c>
      <c r="D14" s="15">
        <f t="shared" si="2"/>
        <v>56.221</v>
      </c>
      <c r="E14" s="37">
        <f t="shared" si="7"/>
        <v>0</v>
      </c>
      <c r="F14" s="15">
        <f t="shared" si="3"/>
        <v>2521.165</v>
      </c>
      <c r="G14" s="15">
        <f t="shared" si="4"/>
        <v>2577.329</v>
      </c>
      <c r="H14" s="15">
        <f t="shared" si="5"/>
        <v>2835.062</v>
      </c>
      <c r="I14" s="36">
        <f t="shared" si="8"/>
        <v>1.100000038799858</v>
      </c>
      <c r="J14" s="1" t="str">
        <f t="shared" si="9"/>
        <v>**********</v>
      </c>
      <c r="K14" s="15">
        <f t="shared" si="6"/>
        <v>1586.489</v>
      </c>
      <c r="L14" s="6">
        <f t="shared" si="10"/>
        <v>0.6292682152893603</v>
      </c>
    </row>
    <row r="15" spans="1:12" ht="12.75">
      <c r="A15" s="32">
        <f t="shared" si="11"/>
        <v>36192</v>
      </c>
      <c r="B15" s="15">
        <f t="shared" si="0"/>
        <v>1457.429</v>
      </c>
      <c r="C15" s="15">
        <f t="shared" si="1"/>
        <v>47.437</v>
      </c>
      <c r="D15" s="15">
        <f t="shared" si="2"/>
        <v>28.111</v>
      </c>
      <c r="E15" s="37">
        <f t="shared" si="7"/>
        <v>0</v>
      </c>
      <c r="F15" s="15">
        <f t="shared" si="3"/>
        <v>2540.491</v>
      </c>
      <c r="G15" s="15">
        <f t="shared" si="4"/>
        <v>2560.569</v>
      </c>
      <c r="H15" s="15">
        <f t="shared" si="5"/>
        <v>2816.626</v>
      </c>
      <c r="I15" s="36">
        <f t="shared" si="8"/>
        <v>1.1000000390538198</v>
      </c>
      <c r="J15" s="1" t="str">
        <f t="shared" si="9"/>
        <v>**********</v>
      </c>
      <c r="K15" s="15">
        <f t="shared" si="6"/>
        <v>1607.572</v>
      </c>
      <c r="L15" s="6">
        <f t="shared" si="10"/>
        <v>0.6327800413384657</v>
      </c>
    </row>
    <row r="16" spans="1:12" ht="12.75">
      <c r="A16" s="32">
        <f t="shared" si="11"/>
        <v>36220</v>
      </c>
      <c r="B16" s="15">
        <f t="shared" si="0"/>
        <v>1464.129</v>
      </c>
      <c r="C16" s="15">
        <f t="shared" si="1"/>
        <v>36.895</v>
      </c>
      <c r="D16" s="15">
        <f t="shared" si="2"/>
        <v>47.437</v>
      </c>
      <c r="E16" s="37">
        <f t="shared" si="7"/>
        <v>0</v>
      </c>
      <c r="F16" s="15">
        <f t="shared" si="3"/>
        <v>2529.949</v>
      </c>
      <c r="G16" s="15">
        <f t="shared" si="4"/>
        <v>2572.342</v>
      </c>
      <c r="H16" s="15">
        <f t="shared" si="5"/>
        <v>2829.576</v>
      </c>
      <c r="I16" s="36">
        <f t="shared" si="8"/>
        <v>1.0999999222498407</v>
      </c>
      <c r="J16" s="1" t="str">
        <f t="shared" si="9"/>
        <v>*********</v>
      </c>
      <c r="K16" s="15">
        <f t="shared" si="6"/>
        <v>1623.384</v>
      </c>
      <c r="L16" s="6">
        <f t="shared" si="10"/>
        <v>0.6416666897237849</v>
      </c>
    </row>
    <row r="17" spans="1:12" ht="12.75">
      <c r="A17" s="32">
        <f t="shared" si="11"/>
        <v>36251</v>
      </c>
      <c r="B17" s="15">
        <f t="shared" si="0"/>
        <v>1505.933</v>
      </c>
      <c r="C17" s="15">
        <f t="shared" si="1"/>
        <v>121.227</v>
      </c>
      <c r="D17" s="15">
        <f t="shared" si="2"/>
        <v>91.359</v>
      </c>
      <c r="E17" s="37">
        <f t="shared" si="7"/>
        <v>0</v>
      </c>
      <c r="F17" s="15">
        <f t="shared" si="3"/>
        <v>2559.817</v>
      </c>
      <c r="G17" s="15">
        <f t="shared" si="4"/>
        <v>2645.788</v>
      </c>
      <c r="H17" s="15">
        <f t="shared" si="5"/>
        <v>2910.367</v>
      </c>
      <c r="I17" s="36">
        <f t="shared" si="8"/>
        <v>1.1000000755918464</v>
      </c>
      <c r="J17" s="1" t="str">
        <f t="shared" si="9"/>
        <v>**********</v>
      </c>
      <c r="K17" s="15">
        <f t="shared" si="6"/>
        <v>1676.091</v>
      </c>
      <c r="L17" s="6">
        <f t="shared" si="10"/>
        <v>0.6547698526886883</v>
      </c>
    </row>
    <row r="18" spans="1:12" ht="12.75">
      <c r="A18" s="32">
        <f t="shared" si="11"/>
        <v>36281</v>
      </c>
      <c r="B18" s="15">
        <f t="shared" si="0"/>
        <v>1487.129</v>
      </c>
      <c r="C18" s="15">
        <f t="shared" si="1"/>
        <v>59.735</v>
      </c>
      <c r="D18" s="15">
        <f t="shared" si="2"/>
        <v>73.79</v>
      </c>
      <c r="E18" s="37">
        <f t="shared" si="7"/>
        <v>-0.0010000000002037268</v>
      </c>
      <c r="F18" s="15">
        <f t="shared" si="3"/>
        <v>2545.761</v>
      </c>
      <c r="G18" s="15">
        <f t="shared" si="4"/>
        <v>2612.75</v>
      </c>
      <c r="H18" s="15">
        <f t="shared" si="5"/>
        <v>2874.026</v>
      </c>
      <c r="I18" s="36">
        <f t="shared" si="8"/>
        <v>1.1000003827384939</v>
      </c>
      <c r="J18" s="1" t="str">
        <f t="shared" si="9"/>
        <v>**********</v>
      </c>
      <c r="K18" s="15">
        <f t="shared" si="6"/>
        <v>1704.202</v>
      </c>
      <c r="L18" s="6">
        <f t="shared" si="10"/>
        <v>0.6694273343020024</v>
      </c>
    </row>
    <row r="19" spans="1:12" ht="12.75">
      <c r="A19" s="32">
        <f t="shared" si="11"/>
        <v>36312</v>
      </c>
      <c r="B19" s="15">
        <f t="shared" si="0"/>
        <v>1470</v>
      </c>
      <c r="C19" s="15">
        <f t="shared" si="1"/>
        <v>36.895</v>
      </c>
      <c r="D19" s="15">
        <f t="shared" si="2"/>
        <v>50.95</v>
      </c>
      <c r="E19" s="37">
        <f t="shared" si="7"/>
        <v>0</v>
      </c>
      <c r="F19" s="15">
        <f t="shared" si="3"/>
        <v>2531.706</v>
      </c>
      <c r="G19" s="15">
        <f t="shared" si="4"/>
        <v>2582.656</v>
      </c>
      <c r="H19" s="15">
        <f t="shared" si="5"/>
        <v>2840.922</v>
      </c>
      <c r="I19" s="36">
        <f t="shared" si="8"/>
        <v>1.1000001548793181</v>
      </c>
      <c r="J19" s="1" t="str">
        <f t="shared" si="9"/>
        <v>**********</v>
      </c>
      <c r="K19" s="15">
        <f t="shared" si="6"/>
        <v>1720.014</v>
      </c>
      <c r="L19" s="6">
        <f t="shared" si="10"/>
        <v>0.6793893129770991</v>
      </c>
    </row>
    <row r="20" spans="1:12" ht="12.75">
      <c r="A20" s="32">
        <f t="shared" si="11"/>
        <v>36342</v>
      </c>
      <c r="B20" s="15">
        <f t="shared" si="0"/>
        <v>1464.548</v>
      </c>
      <c r="C20" s="15">
        <f t="shared" si="1"/>
        <v>43.923</v>
      </c>
      <c r="D20" s="15">
        <f t="shared" si="2"/>
        <v>61.492</v>
      </c>
      <c r="E20" s="37">
        <f t="shared" si="7"/>
        <v>0</v>
      </c>
      <c r="F20" s="15">
        <f t="shared" si="3"/>
        <v>2514.137</v>
      </c>
      <c r="G20" s="15">
        <f t="shared" si="4"/>
        <v>2573.078</v>
      </c>
      <c r="H20" s="15">
        <f t="shared" si="5"/>
        <v>2830.386</v>
      </c>
      <c r="I20" s="36">
        <f t="shared" si="8"/>
        <v>1.1000000777279195</v>
      </c>
      <c r="J20" s="1" t="str">
        <f t="shared" si="9"/>
        <v>**********</v>
      </c>
      <c r="K20" s="15">
        <f t="shared" si="6"/>
        <v>1734.069</v>
      </c>
      <c r="L20" s="6">
        <f t="shared" si="10"/>
        <v>0.6897273298949101</v>
      </c>
    </row>
    <row r="21" spans="1:12" ht="12.75">
      <c r="A21" s="32">
        <f t="shared" si="11"/>
        <v>36373</v>
      </c>
      <c r="B21" s="15">
        <f t="shared" si="0"/>
        <v>1530.484</v>
      </c>
      <c r="C21" s="15">
        <f t="shared" si="1"/>
        <v>187.989</v>
      </c>
      <c r="D21" s="15">
        <f t="shared" si="2"/>
        <v>47.437</v>
      </c>
      <c r="E21" s="37">
        <f t="shared" si="7"/>
        <v>0.0009999999997489795</v>
      </c>
      <c r="F21" s="15">
        <f t="shared" si="3"/>
        <v>2654.69</v>
      </c>
      <c r="G21" s="15">
        <f t="shared" si="4"/>
        <v>2688.921</v>
      </c>
      <c r="H21" s="15">
        <f t="shared" si="5"/>
        <v>2957.813</v>
      </c>
      <c r="I21" s="36">
        <f t="shared" si="8"/>
        <v>1.0999999628103616</v>
      </c>
      <c r="J21" s="1" t="str">
        <f t="shared" si="9"/>
        <v>*********</v>
      </c>
      <c r="K21" s="15">
        <f t="shared" si="6"/>
        <v>1858.81</v>
      </c>
      <c r="L21" s="6">
        <f t="shared" si="10"/>
        <v>0.7001985165876241</v>
      </c>
    </row>
    <row r="22" spans="1:12" ht="12.75">
      <c r="A22" s="32">
        <f t="shared" si="11"/>
        <v>36404</v>
      </c>
      <c r="B22" s="15">
        <f t="shared" si="0"/>
        <v>1538.8</v>
      </c>
      <c r="C22" s="15">
        <f t="shared" si="1"/>
        <v>49.193</v>
      </c>
      <c r="D22" s="15">
        <f t="shared" si="2"/>
        <v>50.95</v>
      </c>
      <c r="E22" s="37">
        <f t="shared" si="7"/>
        <v>-4.547473508864641E-13</v>
      </c>
      <c r="F22" s="15">
        <f t="shared" si="3"/>
        <v>2652.933</v>
      </c>
      <c r="G22" s="15">
        <f t="shared" si="4"/>
        <v>2703.532</v>
      </c>
      <c r="H22" s="15">
        <f t="shared" si="5"/>
        <v>2973.885</v>
      </c>
      <c r="I22" s="36">
        <f t="shared" si="8"/>
        <v>1.0999999260226991</v>
      </c>
      <c r="J22" s="1" t="str">
        <f t="shared" si="9"/>
        <v>*********</v>
      </c>
      <c r="K22" s="15">
        <f t="shared" si="6"/>
        <v>1879.893</v>
      </c>
      <c r="L22" s="6">
        <f t="shared" si="10"/>
        <v>0.7086093014787784</v>
      </c>
    </row>
    <row r="23" spans="1:12" ht="12.75">
      <c r="A23" s="32">
        <f t="shared" si="11"/>
        <v>36434</v>
      </c>
      <c r="B23" s="15">
        <f t="shared" si="0"/>
        <v>1523</v>
      </c>
      <c r="C23" s="15">
        <f t="shared" si="1"/>
        <v>24.597</v>
      </c>
      <c r="D23" s="15">
        <f t="shared" si="2"/>
        <v>49.193</v>
      </c>
      <c r="E23" s="37">
        <f t="shared" si="7"/>
        <v>-0.0010000000002037268</v>
      </c>
      <c r="F23" s="15">
        <f t="shared" si="3"/>
        <v>2628.336</v>
      </c>
      <c r="G23" s="15">
        <f t="shared" si="4"/>
        <v>2675.773</v>
      </c>
      <c r="H23" s="15">
        <f t="shared" si="5"/>
        <v>2943.35</v>
      </c>
      <c r="I23" s="36">
        <f t="shared" si="8"/>
        <v>1.0999998878828658</v>
      </c>
      <c r="J23" s="1" t="str">
        <f t="shared" si="9"/>
        <v>*********</v>
      </c>
      <c r="K23" s="15">
        <f t="shared" si="6"/>
        <v>1893.948</v>
      </c>
      <c r="L23" s="6">
        <f t="shared" si="10"/>
        <v>0.7205882352941178</v>
      </c>
    </row>
    <row r="24" spans="1:12" ht="12.75">
      <c r="A24" s="32">
        <f t="shared" si="11"/>
        <v>36465</v>
      </c>
      <c r="B24" s="15">
        <f t="shared" si="0"/>
        <v>1559.6</v>
      </c>
      <c r="C24" s="15">
        <f t="shared" si="1"/>
        <v>112.442</v>
      </c>
      <c r="D24" s="15">
        <f t="shared" si="2"/>
        <v>22.84</v>
      </c>
      <c r="E24" s="37">
        <f t="shared" si="7"/>
        <v>4.547473508864641E-13</v>
      </c>
      <c r="F24" s="15">
        <f t="shared" si="3"/>
        <v>2717.938</v>
      </c>
      <c r="G24" s="15">
        <f t="shared" si="4"/>
        <v>2740.075</v>
      </c>
      <c r="H24" s="15">
        <f t="shared" si="5"/>
        <v>3014.083</v>
      </c>
      <c r="I24" s="36">
        <f t="shared" si="8"/>
        <v>1.1000001824767571</v>
      </c>
      <c r="J24" s="1" t="str">
        <f t="shared" si="9"/>
        <v>**********</v>
      </c>
      <c r="K24" s="15">
        <f t="shared" si="6"/>
        <v>1973.009</v>
      </c>
      <c r="L24" s="6">
        <f t="shared" si="10"/>
        <v>0.7259212682555672</v>
      </c>
    </row>
    <row r="25" spans="1:12" ht="12.75">
      <c r="A25" s="32">
        <f t="shared" si="11"/>
        <v>36495</v>
      </c>
      <c r="B25" s="15">
        <f t="shared" si="0"/>
        <v>1562</v>
      </c>
      <c r="C25" s="15">
        <f t="shared" si="1"/>
        <v>33.381</v>
      </c>
      <c r="D25" s="15">
        <f t="shared" si="2"/>
        <v>79.061</v>
      </c>
      <c r="E25" s="37">
        <f t="shared" si="7"/>
        <v>0.0010000000002037268</v>
      </c>
      <c r="F25" s="15">
        <f t="shared" si="3"/>
        <v>2672.259</v>
      </c>
      <c r="G25" s="15">
        <f t="shared" si="4"/>
        <v>2744.292</v>
      </c>
      <c r="H25" s="15">
        <f t="shared" si="5"/>
        <v>3018.721</v>
      </c>
      <c r="I25" s="36">
        <f t="shared" si="8"/>
        <v>1.099999927121458</v>
      </c>
      <c r="J25" s="1" t="str">
        <f t="shared" si="9"/>
        <v>*********</v>
      </c>
      <c r="K25" s="15">
        <f t="shared" si="6"/>
        <v>1990.578</v>
      </c>
      <c r="L25" s="6">
        <f t="shared" si="10"/>
        <v>0.744904591957591</v>
      </c>
    </row>
    <row r="26" spans="1:12" ht="12.75">
      <c r="A26" s="32">
        <f t="shared" si="11"/>
        <v>36526</v>
      </c>
      <c r="B26" s="15">
        <f t="shared" si="0"/>
        <v>1554.032</v>
      </c>
      <c r="C26" s="15">
        <f t="shared" si="1"/>
        <v>59.735</v>
      </c>
      <c r="D26" s="15">
        <f t="shared" si="2"/>
        <v>35.138</v>
      </c>
      <c r="E26" s="37">
        <f t="shared" si="7"/>
        <v>-0.0010000000002037268</v>
      </c>
      <c r="F26" s="15">
        <f t="shared" si="3"/>
        <v>2696.855</v>
      </c>
      <c r="G26" s="15">
        <f t="shared" si="4"/>
        <v>2730.293</v>
      </c>
      <c r="H26" s="15">
        <f t="shared" si="5"/>
        <v>3003.323</v>
      </c>
      <c r="I26" s="36">
        <f t="shared" si="8"/>
        <v>1.1000002563827398</v>
      </c>
      <c r="J26" s="1" t="str">
        <f t="shared" si="9"/>
        <v>**********</v>
      </c>
      <c r="K26" s="15">
        <f t="shared" si="6"/>
        <v>2020.445</v>
      </c>
      <c r="L26" s="6">
        <f t="shared" si="10"/>
        <v>0.7491856254785667</v>
      </c>
    </row>
    <row r="27" spans="1:12" ht="12.75">
      <c r="A27" s="32">
        <f t="shared" si="11"/>
        <v>36557</v>
      </c>
      <c r="B27" s="15">
        <f t="shared" si="0"/>
        <v>1555.448</v>
      </c>
      <c r="C27" s="15">
        <f t="shared" si="1"/>
        <v>38.652</v>
      </c>
      <c r="D27" s="15">
        <f t="shared" si="2"/>
        <v>56.221</v>
      </c>
      <c r="E27" s="37">
        <f t="shared" si="7"/>
        <v>0</v>
      </c>
      <c r="F27" s="15">
        <f t="shared" si="3"/>
        <v>2679.286</v>
      </c>
      <c r="G27" s="15">
        <f t="shared" si="4"/>
        <v>2732.781</v>
      </c>
      <c r="H27" s="15">
        <f t="shared" si="5"/>
        <v>3006.059</v>
      </c>
      <c r="I27" s="36">
        <f t="shared" si="8"/>
        <v>1.09999996340724</v>
      </c>
      <c r="J27" s="1" t="str">
        <f t="shared" si="9"/>
        <v>*********</v>
      </c>
      <c r="K27" s="15">
        <f t="shared" si="6"/>
        <v>2032.744</v>
      </c>
      <c r="L27" s="6">
        <f t="shared" si="10"/>
        <v>0.7586886954210935</v>
      </c>
    </row>
    <row r="28" spans="1:12" ht="12.75">
      <c r="A28" s="32">
        <f t="shared" si="11"/>
        <v>36586</v>
      </c>
      <c r="B28" s="15">
        <f t="shared" si="0"/>
        <v>1553.032</v>
      </c>
      <c r="C28" s="15">
        <f t="shared" si="1"/>
        <v>54.464</v>
      </c>
      <c r="D28" s="15">
        <f t="shared" si="2"/>
        <v>66.763</v>
      </c>
      <c r="E28" s="37">
        <f t="shared" si="7"/>
        <v>0.0009999999997489795</v>
      </c>
      <c r="F28" s="15">
        <f t="shared" si="3"/>
        <v>2666.988</v>
      </c>
      <c r="G28" s="15">
        <f t="shared" si="4"/>
        <v>2728.536</v>
      </c>
      <c r="H28" s="15">
        <f t="shared" si="5"/>
        <v>3001.39</v>
      </c>
      <c r="I28" s="36">
        <f t="shared" si="8"/>
        <v>1.100000146598762</v>
      </c>
      <c r="J28" s="1" t="str">
        <f t="shared" si="9"/>
        <v>**********</v>
      </c>
      <c r="K28" s="15">
        <f t="shared" si="6"/>
        <v>2059.097</v>
      </c>
      <c r="L28" s="6">
        <f t="shared" si="10"/>
        <v>0.7720683407649379</v>
      </c>
    </row>
    <row r="29" spans="1:12" ht="12.75">
      <c r="A29" s="32">
        <f t="shared" si="11"/>
        <v>36617</v>
      </c>
      <c r="B29" s="15">
        <f t="shared" si="0"/>
        <v>1566.7</v>
      </c>
      <c r="C29" s="15">
        <f t="shared" si="1"/>
        <v>86.089</v>
      </c>
      <c r="D29" s="15">
        <f t="shared" si="2"/>
        <v>56.221</v>
      </c>
      <c r="E29" s="37">
        <f t="shared" si="7"/>
        <v>-0.0009999999997489795</v>
      </c>
      <c r="F29" s="15">
        <f t="shared" si="3"/>
        <v>2696.855</v>
      </c>
      <c r="G29" s="15">
        <f t="shared" si="4"/>
        <v>2752.549</v>
      </c>
      <c r="H29" s="15">
        <f t="shared" si="5"/>
        <v>3027.804</v>
      </c>
      <c r="I29" s="36">
        <f t="shared" si="8"/>
        <v>1.1000000363299618</v>
      </c>
      <c r="J29" s="1" t="str">
        <f t="shared" si="9"/>
        <v>**********</v>
      </c>
      <c r="K29" s="15">
        <f t="shared" si="6"/>
        <v>2087.208</v>
      </c>
      <c r="L29" s="6">
        <f t="shared" si="10"/>
        <v>0.7739414985232799</v>
      </c>
    </row>
    <row r="30" spans="1:12" ht="12.75">
      <c r="A30" s="32">
        <f t="shared" si="11"/>
        <v>36647</v>
      </c>
      <c r="B30" s="15">
        <f t="shared" si="0"/>
        <v>1579.871</v>
      </c>
      <c r="C30" s="15">
        <f t="shared" si="1"/>
        <v>82.575</v>
      </c>
      <c r="D30" s="15">
        <f t="shared" si="2"/>
        <v>57.978</v>
      </c>
      <c r="E30" s="37">
        <f t="shared" si="7"/>
        <v>4.547473508864641E-13</v>
      </c>
      <c r="F30" s="15">
        <f t="shared" si="3"/>
        <v>2721.452</v>
      </c>
      <c r="G30" s="15">
        <f t="shared" si="4"/>
        <v>2775.69</v>
      </c>
      <c r="H30" s="15">
        <f t="shared" si="5"/>
        <v>3053.259</v>
      </c>
      <c r="I30" s="36">
        <f t="shared" si="8"/>
        <v>1.1</v>
      </c>
      <c r="J30" s="1" t="str">
        <f t="shared" si="9"/>
        <v>**********</v>
      </c>
      <c r="K30" s="15">
        <f t="shared" si="6"/>
        <v>2145.186</v>
      </c>
      <c r="L30" s="6">
        <f t="shared" si="10"/>
        <v>0.7882505368457721</v>
      </c>
    </row>
    <row r="31" spans="1:12" ht="12.75">
      <c r="A31" s="32">
        <f t="shared" si="11"/>
        <v>36678</v>
      </c>
      <c r="B31" s="15">
        <f t="shared" si="0"/>
        <v>1562.4</v>
      </c>
      <c r="C31" s="15">
        <f t="shared" si="1"/>
        <v>24.597</v>
      </c>
      <c r="D31" s="15">
        <f t="shared" si="2"/>
        <v>57.978</v>
      </c>
      <c r="E31" s="37">
        <f t="shared" si="7"/>
        <v>-4.547473508864641E-13</v>
      </c>
      <c r="F31" s="15">
        <f t="shared" si="3"/>
        <v>2688.071</v>
      </c>
      <c r="G31" s="15">
        <f t="shared" si="4"/>
        <v>2744.995</v>
      </c>
      <c r="H31" s="15">
        <f t="shared" si="5"/>
        <v>3019.494</v>
      </c>
      <c r="I31" s="36">
        <f t="shared" si="8"/>
        <v>1.0999998178503059</v>
      </c>
      <c r="J31" s="1" t="str">
        <f t="shared" si="9"/>
        <v>*********</v>
      </c>
      <c r="K31" s="15">
        <f t="shared" si="6"/>
        <v>2160.998</v>
      </c>
      <c r="L31" s="6">
        <f t="shared" si="10"/>
        <v>0.8039214738003573</v>
      </c>
    </row>
    <row r="32" spans="1:12" ht="12.75">
      <c r="A32" s="32">
        <f t="shared" si="11"/>
        <v>36708</v>
      </c>
      <c r="B32" s="15">
        <f t="shared" si="0"/>
        <v>1555.452</v>
      </c>
      <c r="C32" s="15">
        <f t="shared" si="1"/>
        <v>47.437</v>
      </c>
      <c r="D32" s="15">
        <f t="shared" si="2"/>
        <v>47.437</v>
      </c>
      <c r="E32" s="37">
        <f t="shared" si="7"/>
        <v>0</v>
      </c>
      <c r="F32" s="15">
        <f t="shared" si="3"/>
        <v>2688.071</v>
      </c>
      <c r="G32" s="15">
        <f t="shared" si="4"/>
        <v>2732.787</v>
      </c>
      <c r="H32" s="15">
        <f t="shared" si="5"/>
        <v>3006.066</v>
      </c>
      <c r="I32" s="36">
        <f t="shared" si="8"/>
        <v>1.1000001097780399</v>
      </c>
      <c r="J32" s="1" t="str">
        <f t="shared" si="9"/>
        <v>**********</v>
      </c>
      <c r="K32" s="15">
        <f t="shared" si="6"/>
        <v>2192.623</v>
      </c>
      <c r="L32" s="6">
        <f t="shared" si="10"/>
        <v>0.8156864160210054</v>
      </c>
    </row>
    <row r="33" spans="1:12" ht="12.75">
      <c r="A33" s="32">
        <f t="shared" si="11"/>
        <v>36739</v>
      </c>
      <c r="B33" s="15">
        <f t="shared" si="0"/>
        <v>1545.774</v>
      </c>
      <c r="C33" s="15">
        <f t="shared" si="1"/>
        <v>33.381</v>
      </c>
      <c r="D33" s="15">
        <f t="shared" si="2"/>
        <v>49.193</v>
      </c>
      <c r="E33" s="37">
        <f t="shared" si="7"/>
        <v>4.547473508864641E-13</v>
      </c>
      <c r="F33" s="15">
        <f t="shared" si="3"/>
        <v>2672.259</v>
      </c>
      <c r="G33" s="15">
        <f t="shared" si="4"/>
        <v>2715.785</v>
      </c>
      <c r="H33" s="15">
        <f t="shared" si="5"/>
        <v>2987.363</v>
      </c>
      <c r="I33" s="36">
        <f t="shared" si="8"/>
        <v>1.0999998158911697</v>
      </c>
      <c r="J33" s="1" t="str">
        <f t="shared" si="9"/>
        <v>*********</v>
      </c>
      <c r="K33" s="15">
        <f t="shared" si="6"/>
        <v>2208.435</v>
      </c>
      <c r="L33" s="6">
        <f t="shared" si="10"/>
        <v>0.8264299979904642</v>
      </c>
    </row>
    <row r="34" spans="1:12" ht="12.75">
      <c r="A34" s="32">
        <f t="shared" si="11"/>
        <v>36770</v>
      </c>
      <c r="B34" s="15">
        <f t="shared" si="0"/>
        <v>1528.167</v>
      </c>
      <c r="C34" s="15">
        <f t="shared" si="1"/>
        <v>21.083</v>
      </c>
      <c r="D34" s="15">
        <f t="shared" si="2"/>
        <v>68.519</v>
      </c>
      <c r="E34" s="37">
        <f t="shared" si="7"/>
        <v>-0.0010000000002037268</v>
      </c>
      <c r="F34" s="15">
        <f t="shared" si="3"/>
        <v>2624.822</v>
      </c>
      <c r="G34" s="15">
        <f t="shared" si="4"/>
        <v>2684.85</v>
      </c>
      <c r="H34" s="15">
        <f t="shared" si="5"/>
        <v>2953.335</v>
      </c>
      <c r="I34" s="36">
        <f t="shared" si="8"/>
        <v>1.1</v>
      </c>
      <c r="J34" s="1" t="str">
        <f t="shared" si="9"/>
        <v>**********</v>
      </c>
      <c r="K34" s="15">
        <f t="shared" si="6"/>
        <v>2217.219</v>
      </c>
      <c r="L34" s="6">
        <f t="shared" si="10"/>
        <v>0.8447121366706009</v>
      </c>
    </row>
    <row r="35" spans="1:12" ht="12.75">
      <c r="A35" s="32">
        <f t="shared" si="11"/>
        <v>36800</v>
      </c>
      <c r="B35" s="15">
        <f t="shared" si="0"/>
        <v>1514.677</v>
      </c>
      <c r="C35" s="15">
        <f t="shared" si="1"/>
        <v>40.409</v>
      </c>
      <c r="D35" s="15">
        <f t="shared" si="2"/>
        <v>61.492</v>
      </c>
      <c r="E35" s="37">
        <f t="shared" si="7"/>
        <v>0</v>
      </c>
      <c r="F35" s="15">
        <f t="shared" si="3"/>
        <v>2603.739</v>
      </c>
      <c r="G35" s="15">
        <f t="shared" si="4"/>
        <v>2661.151</v>
      </c>
      <c r="H35" s="15">
        <f t="shared" si="5"/>
        <v>2927.266</v>
      </c>
      <c r="I35" s="36">
        <f t="shared" si="8"/>
        <v>1.0999999624222754</v>
      </c>
      <c r="J35" s="1" t="str">
        <f t="shared" si="9"/>
        <v>*********</v>
      </c>
      <c r="K35" s="15">
        <f t="shared" si="6"/>
        <v>2240.059</v>
      </c>
      <c r="L35" s="6">
        <f t="shared" si="10"/>
        <v>0.8603239418390246</v>
      </c>
    </row>
    <row r="36" spans="1:12" ht="12.75">
      <c r="A36" s="32">
        <f t="shared" si="11"/>
        <v>36831</v>
      </c>
      <c r="B36" s="15">
        <f t="shared" si="0"/>
        <v>1499.133</v>
      </c>
      <c r="C36" s="15">
        <f t="shared" si="1"/>
        <v>35.138</v>
      </c>
      <c r="D36" s="15">
        <f t="shared" si="2"/>
        <v>36.895</v>
      </c>
      <c r="E36" s="37">
        <f t="shared" si="7"/>
        <v>0</v>
      </c>
      <c r="F36" s="15">
        <f t="shared" si="3"/>
        <v>2601.982</v>
      </c>
      <c r="G36" s="15">
        <f t="shared" si="4"/>
        <v>2633.841</v>
      </c>
      <c r="H36" s="15">
        <f t="shared" si="5"/>
        <v>2897.225</v>
      </c>
      <c r="I36" s="36">
        <f t="shared" si="8"/>
        <v>1.099999962032636</v>
      </c>
      <c r="J36" s="1" t="str">
        <f t="shared" si="9"/>
        <v>*********</v>
      </c>
      <c r="K36" s="15">
        <f t="shared" si="6"/>
        <v>2261.142</v>
      </c>
      <c r="L36" s="6">
        <f t="shared" si="10"/>
        <v>0.8690075488608299</v>
      </c>
    </row>
    <row r="37" spans="1:12" ht="12.75">
      <c r="A37" s="32">
        <f t="shared" si="11"/>
        <v>36861</v>
      </c>
      <c r="B37" s="15">
        <f t="shared" si="0"/>
        <v>1493.935</v>
      </c>
      <c r="C37" s="15">
        <f t="shared" si="1"/>
        <v>24.597</v>
      </c>
      <c r="D37" s="15">
        <f t="shared" si="2"/>
        <v>31.624</v>
      </c>
      <c r="E37" s="37">
        <f t="shared" si="7"/>
        <v>-4.547473508864641E-13</v>
      </c>
      <c r="F37" s="15">
        <f t="shared" si="3"/>
        <v>2594.955</v>
      </c>
      <c r="G37" s="15">
        <f t="shared" si="4"/>
        <v>2624.709</v>
      </c>
      <c r="H37" s="15">
        <f t="shared" si="5"/>
        <v>2887.18</v>
      </c>
      <c r="I37" s="36">
        <f t="shared" si="8"/>
        <v>1.1000000380994617</v>
      </c>
      <c r="J37" s="1" t="str">
        <f t="shared" si="9"/>
        <v>**********</v>
      </c>
      <c r="K37" s="15">
        <f t="shared" si="6"/>
        <v>2269.927</v>
      </c>
      <c r="L37" s="6">
        <f t="shared" si="10"/>
        <v>0.8747461902036837</v>
      </c>
    </row>
    <row r="38" spans="1:12" ht="12.75">
      <c r="A38" s="32">
        <f t="shared" si="11"/>
        <v>36892</v>
      </c>
      <c r="B38" s="15">
        <f t="shared" si="0"/>
        <v>1494.258</v>
      </c>
      <c r="C38" s="15">
        <f t="shared" si="1"/>
        <v>35.138</v>
      </c>
      <c r="D38" s="15">
        <f t="shared" si="2"/>
        <v>40.409</v>
      </c>
      <c r="E38" s="37">
        <f t="shared" si="7"/>
        <v>4.547473508864641E-13</v>
      </c>
      <c r="F38" s="15">
        <f t="shared" si="3"/>
        <v>2589.684</v>
      </c>
      <c r="G38" s="15">
        <f t="shared" si="4"/>
        <v>2625.275</v>
      </c>
      <c r="H38" s="15">
        <f t="shared" si="5"/>
        <v>2887.803</v>
      </c>
      <c r="I38" s="36">
        <f t="shared" si="8"/>
        <v>1.1000001904562378</v>
      </c>
      <c r="J38" s="1" t="str">
        <f t="shared" si="9"/>
        <v>**********</v>
      </c>
      <c r="K38" s="15">
        <f t="shared" si="6"/>
        <v>2299.794</v>
      </c>
      <c r="L38" s="6">
        <f t="shared" si="10"/>
        <v>0.8880597014925372</v>
      </c>
    </row>
    <row r="39" spans="1:12" ht="12.75">
      <c r="A39" s="32">
        <f t="shared" si="11"/>
        <v>36923</v>
      </c>
      <c r="B39" s="15">
        <f t="shared" si="0"/>
        <v>1493.857</v>
      </c>
      <c r="C39" s="15">
        <f t="shared" si="1"/>
        <v>38.652</v>
      </c>
      <c r="D39" s="15">
        <f t="shared" si="2"/>
        <v>70.276</v>
      </c>
      <c r="E39" s="37">
        <f t="shared" si="7"/>
        <v>-4.547473508864641E-13</v>
      </c>
      <c r="F39" s="15">
        <f t="shared" si="3"/>
        <v>2558.06</v>
      </c>
      <c r="G39" s="15">
        <f t="shared" si="4"/>
        <v>2624.571</v>
      </c>
      <c r="H39" s="15">
        <f t="shared" si="5"/>
        <v>2887.028</v>
      </c>
      <c r="I39" s="36">
        <f t="shared" si="8"/>
        <v>1.099999961898535</v>
      </c>
      <c r="J39" s="1" t="str">
        <f t="shared" si="9"/>
        <v>*********</v>
      </c>
      <c r="K39" s="15">
        <f t="shared" si="6"/>
        <v>2338.446</v>
      </c>
      <c r="L39" s="6">
        <f t="shared" si="10"/>
        <v>0.9141482216992565</v>
      </c>
    </row>
    <row r="40" spans="1:12" ht="12.75">
      <c r="A40" s="32">
        <f t="shared" si="11"/>
        <v>36951</v>
      </c>
      <c r="B40" s="15">
        <f t="shared" si="0"/>
        <v>1473.839</v>
      </c>
      <c r="C40" s="15">
        <f t="shared" si="1"/>
        <v>33.381</v>
      </c>
      <c r="D40" s="15">
        <f t="shared" si="2"/>
        <v>59.735</v>
      </c>
      <c r="E40" s="37">
        <f t="shared" si="7"/>
        <v>4.547473508864641E-13</v>
      </c>
      <c r="F40" s="15">
        <f t="shared" si="3"/>
        <v>2531.706</v>
      </c>
      <c r="G40" s="15">
        <f t="shared" si="4"/>
        <v>2589.401</v>
      </c>
      <c r="H40" s="15">
        <f t="shared" si="5"/>
        <v>2848.341</v>
      </c>
      <c r="I40" s="36">
        <f t="shared" si="8"/>
        <v>1.0999999613810298</v>
      </c>
      <c r="J40" s="1" t="str">
        <f t="shared" si="9"/>
        <v>*********</v>
      </c>
      <c r="K40" s="15">
        <f t="shared" si="6"/>
        <v>2368.313</v>
      </c>
      <c r="L40" s="6">
        <f t="shared" si="10"/>
        <v>0.9354613055386368</v>
      </c>
    </row>
    <row r="41" spans="1:12" ht="12.75">
      <c r="A41" s="32">
        <f t="shared" si="11"/>
        <v>36982</v>
      </c>
      <c r="B41" s="15">
        <f t="shared" si="0"/>
        <v>1453.933</v>
      </c>
      <c r="C41" s="15">
        <f t="shared" si="1"/>
        <v>28.111</v>
      </c>
      <c r="D41" s="15">
        <f t="shared" si="2"/>
        <v>45.68</v>
      </c>
      <c r="E41" s="37">
        <f t="shared" si="7"/>
        <v>0</v>
      </c>
      <c r="F41" s="15">
        <f t="shared" si="3"/>
        <v>2514.137</v>
      </c>
      <c r="G41" s="15">
        <f t="shared" si="4"/>
        <v>2554.429</v>
      </c>
      <c r="H41" s="15">
        <f t="shared" si="5"/>
        <v>2809.872</v>
      </c>
      <c r="I41" s="36">
        <f t="shared" si="8"/>
        <v>1.100000039147692</v>
      </c>
      <c r="J41" s="1" t="str">
        <f t="shared" si="9"/>
        <v>**********</v>
      </c>
      <c r="K41" s="15">
        <f t="shared" si="6"/>
        <v>2394.667</v>
      </c>
      <c r="L41" s="6">
        <f t="shared" si="10"/>
        <v>0.9524807120693899</v>
      </c>
    </row>
    <row r="42" spans="1:12" ht="12.75">
      <c r="A42" s="32">
        <f t="shared" si="11"/>
        <v>37012</v>
      </c>
      <c r="B42" s="15">
        <f t="shared" si="0"/>
        <v>1456.903</v>
      </c>
      <c r="C42" s="15">
        <f t="shared" si="1"/>
        <v>49.193</v>
      </c>
      <c r="D42" s="15">
        <f t="shared" si="2"/>
        <v>40.409</v>
      </c>
      <c r="E42" s="37">
        <f t="shared" si="7"/>
        <v>-4.547473508864641E-13</v>
      </c>
      <c r="F42" s="15">
        <f t="shared" si="3"/>
        <v>2522.921</v>
      </c>
      <c r="G42" s="15">
        <f t="shared" si="4"/>
        <v>2559.647</v>
      </c>
      <c r="H42" s="15">
        <f t="shared" si="5"/>
        <v>2815.611</v>
      </c>
      <c r="I42" s="36">
        <f t="shared" si="8"/>
        <v>1.0999997265247903</v>
      </c>
      <c r="J42" s="1" t="str">
        <f t="shared" si="9"/>
        <v>*********</v>
      </c>
      <c r="K42" s="15">
        <f t="shared" si="6"/>
        <v>2442.104</v>
      </c>
      <c r="L42" s="6">
        <f t="shared" si="10"/>
        <v>0.9679668923442312</v>
      </c>
    </row>
    <row r="43" spans="1:12" ht="12.75">
      <c r="A43" s="32">
        <f t="shared" si="11"/>
        <v>37043</v>
      </c>
      <c r="B43" s="15">
        <f t="shared" si="0"/>
        <v>1454.267</v>
      </c>
      <c r="C43" s="15">
        <f t="shared" si="1"/>
        <v>38.652</v>
      </c>
      <c r="D43" s="15">
        <f t="shared" si="2"/>
        <v>36.895</v>
      </c>
      <c r="E43" s="37">
        <f t="shared" si="7"/>
        <v>0</v>
      </c>
      <c r="F43" s="15">
        <f t="shared" si="3"/>
        <v>2524.678</v>
      </c>
      <c r="G43" s="15">
        <f t="shared" si="4"/>
        <v>2555.014</v>
      </c>
      <c r="H43" s="15">
        <f t="shared" si="5"/>
        <v>2810.516</v>
      </c>
      <c r="I43" s="36">
        <f t="shared" si="8"/>
        <v>1.1000002348323727</v>
      </c>
      <c r="J43" s="1" t="str">
        <f t="shared" si="9"/>
        <v>**********</v>
      </c>
      <c r="K43" s="15">
        <f t="shared" si="6"/>
        <v>2477.242</v>
      </c>
      <c r="L43" s="6">
        <f t="shared" si="10"/>
        <v>0.9812110692927971</v>
      </c>
    </row>
    <row r="44" spans="1:12" ht="13.5" thickBot="1">
      <c r="A44" s="32">
        <f t="shared" si="11"/>
        <v>37073</v>
      </c>
      <c r="B44" s="15">
        <f t="shared" si="0"/>
        <v>1464.387</v>
      </c>
      <c r="C44" s="15">
        <f t="shared" si="1"/>
        <v>57.978</v>
      </c>
      <c r="D44" s="15">
        <f t="shared" si="2"/>
        <v>49.193</v>
      </c>
      <c r="E44" s="15">
        <f t="shared" si="7"/>
        <v>4.547473508864641E-13</v>
      </c>
      <c r="F44" s="15">
        <f t="shared" si="3"/>
        <v>2533.463</v>
      </c>
      <c r="G44" s="15">
        <f t="shared" si="4"/>
        <v>2572.795</v>
      </c>
      <c r="H44" s="15">
        <f t="shared" si="5"/>
        <v>2830.074</v>
      </c>
      <c r="I44" s="36">
        <f t="shared" si="8"/>
        <v>1.0999998056588263</v>
      </c>
      <c r="J44" s="1" t="str">
        <f t="shared" si="9"/>
        <v>*********</v>
      </c>
      <c r="K44" s="15">
        <f t="shared" si="6"/>
        <v>2533.463</v>
      </c>
      <c r="L44" s="6">
        <f>IF($A44="","",IF(F44=0,0,K44/F44))</f>
        <v>1</v>
      </c>
    </row>
    <row r="45" spans="1:12" ht="13.5" thickTop="1">
      <c r="A45" s="7"/>
      <c r="B45" s="30">
        <f aca="true" t="shared" si="12" ref="B45:H45">SUM(B9:B44)</f>
        <v>53854.478</v>
      </c>
      <c r="C45" s="30">
        <f t="shared" si="12"/>
        <v>2048.5570000000002</v>
      </c>
      <c r="D45" s="30">
        <f t="shared" si="12"/>
        <v>1763.9360000000004</v>
      </c>
      <c r="E45" s="30">
        <f t="shared" si="12"/>
        <v>-0.002000000000862201</v>
      </c>
      <c r="F45" s="30">
        <f t="shared" si="12"/>
        <v>93010.76800000001</v>
      </c>
      <c r="G45" s="30">
        <f t="shared" si="12"/>
        <v>94617.42499999999</v>
      </c>
      <c r="H45" s="30">
        <f t="shared" si="12"/>
        <v>104079.17000000001</v>
      </c>
      <c r="I45" s="38">
        <f>IF(G45=0,0,H45/G45)</f>
        <v>1.1000000264221947</v>
      </c>
      <c r="J45" s="7" t="str">
        <f>IF(I45=0,0,REPT("*",100*(I45-1)))</f>
        <v>**********</v>
      </c>
      <c r="K45" s="30">
        <f>SUM(K9:K44)</f>
        <v>71588.774</v>
      </c>
      <c r="L45" s="8">
        <f>IF(G45=0,0,K45/G45)</f>
        <v>0.7566130023090357</v>
      </c>
    </row>
    <row r="47" ht="12.75">
      <c r="A47" s="84" t="s">
        <v>205</v>
      </c>
    </row>
    <row r="48" ht="12.75">
      <c r="B48" s="1" t="s">
        <v>179</v>
      </c>
    </row>
    <row r="49" ht="12.75">
      <c r="B49" s="1" t="s">
        <v>181</v>
      </c>
    </row>
    <row r="50" ht="12.75">
      <c r="B50" s="1" t="s">
        <v>182</v>
      </c>
    </row>
    <row r="51" ht="12.75">
      <c r="B51" s="1" t="s">
        <v>188</v>
      </c>
    </row>
    <row r="52" ht="12.75">
      <c r="B52" s="1" t="s">
        <v>189</v>
      </c>
    </row>
    <row r="53" ht="12.75">
      <c r="B53" s="1" t="s">
        <v>190</v>
      </c>
    </row>
    <row r="54" ht="12.75">
      <c r="B54" s="1" t="s">
        <v>191</v>
      </c>
    </row>
    <row r="55" ht="12.75">
      <c r="B55" s="1" t="s">
        <v>192</v>
      </c>
    </row>
    <row r="56" ht="12.75">
      <c r="B56" s="1" t="s">
        <v>194</v>
      </c>
    </row>
    <row r="57" ht="12.75">
      <c r="B57" s="1" t="s">
        <v>195</v>
      </c>
    </row>
    <row r="58" ht="12.75">
      <c r="B58" s="1" t="s">
        <v>193</v>
      </c>
    </row>
    <row r="59" ht="12.75">
      <c r="B59" s="1" t="s">
        <v>228</v>
      </c>
    </row>
  </sheetData>
  <mergeCells count="5">
    <mergeCell ref="L7:L8"/>
    <mergeCell ref="A7:A8"/>
    <mergeCell ref="B7:B8"/>
    <mergeCell ref="J7:J8"/>
    <mergeCell ref="K7:K8"/>
  </mergeCells>
  <printOptions/>
  <pageMargins left="0.75" right="0.75" top="1" bottom="1" header="0.5" footer="0.5"/>
  <pageSetup blackAndWhite="1" fitToHeight="1" fitToWidth="1" horizontalDpi="600" verticalDpi="600" orientation="landscape" pageOrder="overThenDown" scale="59" r:id="rId2"/>
  <headerFooter alignWithMargins="0">
    <oddFooter>&amp;L&amp;"Arial Narrow,Regular"&amp;9&amp;F &amp;A &amp;P / &amp;N
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105"/>
  <sheetViews>
    <sheetView zoomScale="85" zoomScaleNormal="85" workbookViewId="0" topLeftCell="A1">
      <pane ySplit="8" topLeftCell="BM44" activePane="bottomLeft" state="frozen"/>
      <selection pane="topLeft" activeCell="F34" sqref="F34"/>
      <selection pane="bottomLeft" activeCell="F48" sqref="F48"/>
    </sheetView>
  </sheetViews>
  <sheetFormatPr defaultColWidth="9.140625" defaultRowHeight="12.75"/>
  <cols>
    <col min="1" max="1" width="10.7109375" style="127" customWidth="1"/>
    <col min="2" max="2" width="8.7109375" style="127" customWidth="1"/>
    <col min="3" max="3" width="13.8515625" style="127" customWidth="1"/>
    <col min="4" max="41" width="12.7109375" style="127" customWidth="1"/>
    <col min="42" max="16384" width="9.140625" style="127" customWidth="1"/>
  </cols>
  <sheetData>
    <row r="1" spans="1:41" ht="18">
      <c r="A1" s="135"/>
      <c r="B1" s="2" t="str">
        <f>title1&amp;" Reported Lag Triangle"&amp;IF(Basis="ibnp"," (reported = paid)","")</f>
        <v>BLOCK CLAIM LIABILITY REPORT Reported Lag Triangle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>
      <c r="A2" s="135"/>
      <c r="B2" s="9" t="str">
        <f>title2</f>
        <v>The Millennium-2000 Sample Life Insurance Company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135"/>
      <c r="B3" s="9" t="str">
        <f>title3</f>
        <v>Arvind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">
      <c r="A4" s="135"/>
      <c r="B4" s="33" t="str">
        <f>title4</f>
        <v>Experience Period:  01-Aug-1998  to  31-Jul-2001.  Runout Date:  31-Jul-2001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129" customFormat="1" ht="12.75">
      <c r="A5" s="13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129" customFormat="1" ht="12.75">
      <c r="A6" s="4"/>
      <c r="B6" s="4"/>
      <c r="C6" s="4"/>
      <c r="D6" s="4"/>
      <c r="E6" s="4"/>
      <c r="F6" s="4"/>
      <c r="G6" s="1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128" customFormat="1" ht="12.75">
      <c r="A7" s="88"/>
      <c r="B7" s="40"/>
      <c r="C7" s="40"/>
      <c r="D7" s="4"/>
      <c r="E7" s="40"/>
      <c r="F7" s="136" t="s">
        <v>230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2"/>
    </row>
    <row r="8" spans="1:41" s="129" customFormat="1" ht="51">
      <c r="A8" s="14" t="s">
        <v>58</v>
      </c>
      <c r="B8" s="14" t="s">
        <v>168</v>
      </c>
      <c r="C8" s="14" t="s">
        <v>57</v>
      </c>
      <c r="D8" s="14" t="s">
        <v>226</v>
      </c>
      <c r="E8" s="14" t="s">
        <v>0</v>
      </c>
      <c r="F8" s="20">
        <v>0</v>
      </c>
      <c r="G8" s="20">
        <f aca="true" t="shared" si="0" ref="G8:AO8">F8+1</f>
        <v>1</v>
      </c>
      <c r="H8" s="20">
        <f t="shared" si="0"/>
        <v>2</v>
      </c>
      <c r="I8" s="20">
        <f t="shared" si="0"/>
        <v>3</v>
      </c>
      <c r="J8" s="20">
        <f t="shared" si="0"/>
        <v>4</v>
      </c>
      <c r="K8" s="20">
        <f t="shared" si="0"/>
        <v>5</v>
      </c>
      <c r="L8" s="20">
        <f t="shared" si="0"/>
        <v>6</v>
      </c>
      <c r="M8" s="20">
        <f t="shared" si="0"/>
        <v>7</v>
      </c>
      <c r="N8" s="20">
        <f t="shared" si="0"/>
        <v>8</v>
      </c>
      <c r="O8" s="20">
        <f t="shared" si="0"/>
        <v>9</v>
      </c>
      <c r="P8" s="20">
        <f t="shared" si="0"/>
        <v>10</v>
      </c>
      <c r="Q8" s="20">
        <f t="shared" si="0"/>
        <v>11</v>
      </c>
      <c r="R8" s="20">
        <f t="shared" si="0"/>
        <v>12</v>
      </c>
      <c r="S8" s="20">
        <f t="shared" si="0"/>
        <v>13</v>
      </c>
      <c r="T8" s="20">
        <f t="shared" si="0"/>
        <v>14</v>
      </c>
      <c r="U8" s="20">
        <f t="shared" si="0"/>
        <v>15</v>
      </c>
      <c r="V8" s="20">
        <f t="shared" si="0"/>
        <v>16</v>
      </c>
      <c r="W8" s="20">
        <f t="shared" si="0"/>
        <v>17</v>
      </c>
      <c r="X8" s="20">
        <f t="shared" si="0"/>
        <v>18</v>
      </c>
      <c r="Y8" s="20">
        <f t="shared" si="0"/>
        <v>19</v>
      </c>
      <c r="Z8" s="20">
        <f t="shared" si="0"/>
        <v>20</v>
      </c>
      <c r="AA8" s="20">
        <f t="shared" si="0"/>
        <v>21</v>
      </c>
      <c r="AB8" s="20">
        <f t="shared" si="0"/>
        <v>22</v>
      </c>
      <c r="AC8" s="20">
        <f t="shared" si="0"/>
        <v>23</v>
      </c>
      <c r="AD8" s="20">
        <f t="shared" si="0"/>
        <v>24</v>
      </c>
      <c r="AE8" s="20">
        <f t="shared" si="0"/>
        <v>25</v>
      </c>
      <c r="AF8" s="20">
        <f t="shared" si="0"/>
        <v>26</v>
      </c>
      <c r="AG8" s="20">
        <f t="shared" si="0"/>
        <v>27</v>
      </c>
      <c r="AH8" s="20">
        <f t="shared" si="0"/>
        <v>28</v>
      </c>
      <c r="AI8" s="20">
        <f t="shared" si="0"/>
        <v>29</v>
      </c>
      <c r="AJ8" s="20">
        <f t="shared" si="0"/>
        <v>30</v>
      </c>
      <c r="AK8" s="20">
        <f t="shared" si="0"/>
        <v>31</v>
      </c>
      <c r="AL8" s="20">
        <f t="shared" si="0"/>
        <v>32</v>
      </c>
      <c r="AM8" s="20">
        <f t="shared" si="0"/>
        <v>33</v>
      </c>
      <c r="AN8" s="20">
        <f t="shared" si="0"/>
        <v>34</v>
      </c>
      <c r="AO8" s="20">
        <f t="shared" si="0"/>
        <v>35</v>
      </c>
    </row>
    <row r="9" spans="1:41" ht="12.75">
      <c r="A9" s="32">
        <f>ExpDat</f>
        <v>36008</v>
      </c>
      <c r="B9" s="36">
        <f>IF($A9="","",IF(VLOOKUP($A9,TrendFacDump,2,FALSE)=0,0,VLOOKUP(EOMONTH(ValDat,-1)+1,TrendFacDump,2,FALSE)/VLOOKUP($A9,TrendFacDump,2,FALSE)))</f>
        <v>1.185255422543558</v>
      </c>
      <c r="C9" s="50">
        <f aca="true" t="shared" si="1" ref="C9:C44">IF($A9="","",VLOOKUP($A9,ExpDump,7,FALSE))</f>
        <v>2576.156</v>
      </c>
      <c r="D9" s="66">
        <f>IF($A9="","",SUM(F9:AO9))</f>
        <v>99219</v>
      </c>
      <c r="E9" s="67">
        <f>IF($A9="","",F9)</f>
        <v>25147</v>
      </c>
      <c r="F9" s="70">
        <f aca="true" t="shared" si="2" ref="F9:O24">IF($A9="","",VLOOKUP($A9,ReportedDump,F$8+2,FALSE))</f>
        <v>25147</v>
      </c>
      <c r="G9" s="70">
        <f t="shared" si="2"/>
        <v>74072</v>
      </c>
      <c r="H9" s="70">
        <f t="shared" si="2"/>
        <v>0</v>
      </c>
      <c r="I9" s="70">
        <f t="shared" si="2"/>
        <v>0</v>
      </c>
      <c r="J9" s="66">
        <f t="shared" si="2"/>
        <v>0</v>
      </c>
      <c r="K9" s="66">
        <f t="shared" si="2"/>
        <v>0</v>
      </c>
      <c r="L9" s="66">
        <f t="shared" si="2"/>
        <v>0</v>
      </c>
      <c r="M9" s="66">
        <f t="shared" si="2"/>
        <v>0</v>
      </c>
      <c r="N9" s="66">
        <f t="shared" si="2"/>
        <v>0</v>
      </c>
      <c r="O9" s="66">
        <f t="shared" si="2"/>
        <v>0</v>
      </c>
      <c r="P9" s="66">
        <f aca="true" t="shared" si="3" ref="P9:Y24">IF($A9="","",VLOOKUP($A9,ReportedDump,P$8+2,FALSE))</f>
        <v>0</v>
      </c>
      <c r="Q9" s="66">
        <f t="shared" si="3"/>
        <v>0</v>
      </c>
      <c r="R9" s="66">
        <f t="shared" si="3"/>
        <v>0</v>
      </c>
      <c r="S9" s="66">
        <f t="shared" si="3"/>
        <v>0</v>
      </c>
      <c r="T9" s="66">
        <f t="shared" si="3"/>
        <v>0</v>
      </c>
      <c r="U9" s="66">
        <f t="shared" si="3"/>
        <v>0</v>
      </c>
      <c r="V9" s="66">
        <f t="shared" si="3"/>
        <v>0</v>
      </c>
      <c r="W9" s="66">
        <f t="shared" si="3"/>
        <v>0</v>
      </c>
      <c r="X9" s="66">
        <f t="shared" si="3"/>
        <v>0</v>
      </c>
      <c r="Y9" s="66">
        <f t="shared" si="3"/>
        <v>0</v>
      </c>
      <c r="Z9" s="66">
        <f aca="true" t="shared" si="4" ref="Z9:AI24">IF($A9="","",VLOOKUP($A9,ReportedDump,Z$8+2,FALSE))</f>
        <v>0</v>
      </c>
      <c r="AA9" s="66">
        <f t="shared" si="4"/>
        <v>0</v>
      </c>
      <c r="AB9" s="66">
        <f t="shared" si="4"/>
        <v>0</v>
      </c>
      <c r="AC9" s="66">
        <f t="shared" si="4"/>
        <v>0</v>
      </c>
      <c r="AD9" s="66">
        <f t="shared" si="4"/>
        <v>0</v>
      </c>
      <c r="AE9" s="66">
        <f t="shared" si="4"/>
        <v>0</v>
      </c>
      <c r="AF9" s="66">
        <f t="shared" si="4"/>
        <v>0</v>
      </c>
      <c r="AG9" s="66">
        <f t="shared" si="4"/>
        <v>0</v>
      </c>
      <c r="AH9" s="66">
        <f t="shared" si="4"/>
        <v>0</v>
      </c>
      <c r="AI9" s="66">
        <f t="shared" si="4"/>
        <v>0</v>
      </c>
      <c r="AJ9" s="66">
        <f aca="true" t="shared" si="5" ref="AJ9:AO24">IF($A9="","",VLOOKUP($A9,ReportedDump,AJ$8+2,FALSE))</f>
        <v>0</v>
      </c>
      <c r="AK9" s="66">
        <f t="shared" si="5"/>
        <v>0</v>
      </c>
      <c r="AL9" s="66">
        <f t="shared" si="5"/>
        <v>0</v>
      </c>
      <c r="AM9" s="66">
        <f t="shared" si="5"/>
        <v>0</v>
      </c>
      <c r="AN9" s="66">
        <f t="shared" si="5"/>
        <v>0</v>
      </c>
      <c r="AO9" s="66">
        <f t="shared" si="5"/>
        <v>0</v>
      </c>
    </row>
    <row r="10" spans="1:41" ht="12.75">
      <c r="A10" s="32">
        <f>IF($A9="","",IF(DATE(YEAR(A9),MONTH(A9)+1,1)&gt;ValDat,"",DATE(YEAR(A9),MONTH(A9)+1,1)))</f>
        <v>36039</v>
      </c>
      <c r="B10" s="36">
        <f>IF($A10="","",IF(VLOOKUP($A10,TrendFacDump,2,FALSE)=0,0,VLOOKUP(EOMONTH(ValDat,-1)+1,TrendFacDump,2,FALSE)/VLOOKUP($A10,TrendFacDump,2,FALSE)))</f>
        <v>1.179523472517103</v>
      </c>
      <c r="C10" s="50">
        <f t="shared" si="1"/>
        <v>2663.767</v>
      </c>
      <c r="D10" s="66">
        <f>IF($A10="","",SUM(F10:AO10))</f>
        <v>99219</v>
      </c>
      <c r="E10" s="67">
        <f>IF($A10="","",E9+F10+G9)</f>
        <v>130472</v>
      </c>
      <c r="F10" s="70">
        <f t="shared" si="2"/>
        <v>31253</v>
      </c>
      <c r="G10" s="70">
        <f t="shared" si="2"/>
        <v>67966</v>
      </c>
      <c r="H10" s="70">
        <f t="shared" si="2"/>
        <v>0</v>
      </c>
      <c r="I10" s="70">
        <f t="shared" si="2"/>
        <v>0</v>
      </c>
      <c r="J10" s="66">
        <f t="shared" si="2"/>
        <v>0</v>
      </c>
      <c r="K10" s="66">
        <f t="shared" si="2"/>
        <v>0</v>
      </c>
      <c r="L10" s="66">
        <f t="shared" si="2"/>
        <v>0</v>
      </c>
      <c r="M10" s="66">
        <f t="shared" si="2"/>
        <v>0</v>
      </c>
      <c r="N10" s="66">
        <f t="shared" si="2"/>
        <v>0</v>
      </c>
      <c r="O10" s="66">
        <f t="shared" si="2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0</v>
      </c>
      <c r="U10" s="66">
        <f t="shared" si="3"/>
        <v>0</v>
      </c>
      <c r="V10" s="66">
        <f t="shared" si="3"/>
        <v>0</v>
      </c>
      <c r="W10" s="66">
        <f t="shared" si="3"/>
        <v>0</v>
      </c>
      <c r="X10" s="66">
        <f t="shared" si="3"/>
        <v>0</v>
      </c>
      <c r="Y10" s="66">
        <f t="shared" si="3"/>
        <v>0</v>
      </c>
      <c r="Z10" s="66">
        <f t="shared" si="4"/>
        <v>0</v>
      </c>
      <c r="AA10" s="66">
        <f t="shared" si="4"/>
        <v>0</v>
      </c>
      <c r="AB10" s="66">
        <f t="shared" si="4"/>
        <v>0</v>
      </c>
      <c r="AC10" s="66">
        <f t="shared" si="4"/>
        <v>0</v>
      </c>
      <c r="AD10" s="66">
        <f t="shared" si="4"/>
        <v>0</v>
      </c>
      <c r="AE10" s="66">
        <f t="shared" si="4"/>
        <v>0</v>
      </c>
      <c r="AF10" s="66">
        <f t="shared" si="4"/>
        <v>0</v>
      </c>
      <c r="AG10" s="66">
        <f t="shared" si="4"/>
        <v>0</v>
      </c>
      <c r="AH10" s="66">
        <f t="shared" si="4"/>
        <v>0</v>
      </c>
      <c r="AI10" s="66">
        <f t="shared" si="4"/>
        <v>0</v>
      </c>
      <c r="AJ10" s="66">
        <f t="shared" si="5"/>
        <v>0</v>
      </c>
      <c r="AK10" s="66">
        <f t="shared" si="5"/>
        <v>0</v>
      </c>
      <c r="AL10" s="66">
        <f t="shared" si="5"/>
        <v>0</v>
      </c>
      <c r="AM10" s="66">
        <f t="shared" si="5"/>
        <v>0</v>
      </c>
      <c r="AN10" s="66">
        <f t="shared" si="5"/>
        <v>0</v>
      </c>
      <c r="AO10" s="66">
        <f t="shared" si="5"/>
        <v>0</v>
      </c>
    </row>
    <row r="11" spans="1:41" ht="12.75">
      <c r="A11" s="32">
        <f aca="true" t="shared" si="6" ref="A11:A44">IF($A10="","",IF(DATE(YEAR(A10),MONTH(A10)+1,1)&gt;ValDat,"",DATE(YEAR(A10),MONTH(A10)+1,1)))</f>
        <v>36069</v>
      </c>
      <c r="B11" s="36">
        <f>IF($A11="","",IF(VLOOKUP($A11,TrendFacDump,2,FALSE)=0,0,VLOOKUP(EOMONTH(ValDat,-1)+1,TrendFacDump,2,FALSE)/VLOOKUP($A11,TrendFacDump,2,FALSE)))</f>
        <v>1.1738466956215519</v>
      </c>
      <c r="C11" s="50">
        <f t="shared" si="1"/>
        <v>2728.208</v>
      </c>
      <c r="D11" s="66">
        <f aca="true" t="shared" si="7" ref="D11:D44">IF($A11="","",SUM(F11:AO11))</f>
        <v>292014</v>
      </c>
      <c r="E11" s="67">
        <f>IF($A11="","",E10+F11+G10+H9)</f>
        <v>228624</v>
      </c>
      <c r="F11" s="70">
        <f t="shared" si="2"/>
        <v>30186</v>
      </c>
      <c r="G11" s="70">
        <f t="shared" si="2"/>
        <v>157846</v>
      </c>
      <c r="H11" s="70">
        <f t="shared" si="2"/>
        <v>54319</v>
      </c>
      <c r="I11" s="70">
        <f t="shared" si="2"/>
        <v>49663</v>
      </c>
      <c r="J11" s="66">
        <f t="shared" si="2"/>
        <v>0</v>
      </c>
      <c r="K11" s="66">
        <f t="shared" si="2"/>
        <v>0</v>
      </c>
      <c r="L11" s="66">
        <f t="shared" si="2"/>
        <v>0</v>
      </c>
      <c r="M11" s="66">
        <f t="shared" si="2"/>
        <v>0</v>
      </c>
      <c r="N11" s="66">
        <f t="shared" si="2"/>
        <v>0</v>
      </c>
      <c r="O11" s="66">
        <f t="shared" si="2"/>
        <v>0</v>
      </c>
      <c r="P11" s="66">
        <f t="shared" si="3"/>
        <v>0</v>
      </c>
      <c r="Q11" s="66">
        <f t="shared" si="3"/>
        <v>0</v>
      </c>
      <c r="R11" s="66">
        <f t="shared" si="3"/>
        <v>0</v>
      </c>
      <c r="S11" s="66">
        <f t="shared" si="3"/>
        <v>0</v>
      </c>
      <c r="T11" s="66">
        <f t="shared" si="3"/>
        <v>0</v>
      </c>
      <c r="U11" s="66">
        <f t="shared" si="3"/>
        <v>0</v>
      </c>
      <c r="V11" s="66">
        <f t="shared" si="3"/>
        <v>0</v>
      </c>
      <c r="W11" s="66">
        <f t="shared" si="3"/>
        <v>0</v>
      </c>
      <c r="X11" s="66">
        <f t="shared" si="3"/>
        <v>0</v>
      </c>
      <c r="Y11" s="66">
        <f t="shared" si="3"/>
        <v>0</v>
      </c>
      <c r="Z11" s="66">
        <f t="shared" si="4"/>
        <v>0</v>
      </c>
      <c r="AA11" s="66">
        <f t="shared" si="4"/>
        <v>0</v>
      </c>
      <c r="AB11" s="66">
        <f t="shared" si="4"/>
        <v>0</v>
      </c>
      <c r="AC11" s="66">
        <f t="shared" si="4"/>
        <v>0</v>
      </c>
      <c r="AD11" s="66">
        <f t="shared" si="4"/>
        <v>0</v>
      </c>
      <c r="AE11" s="66">
        <f t="shared" si="4"/>
        <v>0</v>
      </c>
      <c r="AF11" s="66">
        <f t="shared" si="4"/>
        <v>0</v>
      </c>
      <c r="AG11" s="66">
        <f t="shared" si="4"/>
        <v>0</v>
      </c>
      <c r="AH11" s="66">
        <f t="shared" si="4"/>
        <v>0</v>
      </c>
      <c r="AI11" s="66">
        <f t="shared" si="4"/>
        <v>0</v>
      </c>
      <c r="AJ11" s="66">
        <f t="shared" si="5"/>
        <v>0</v>
      </c>
      <c r="AK11" s="66">
        <f t="shared" si="5"/>
        <v>0</v>
      </c>
      <c r="AL11" s="66">
        <f t="shared" si="5"/>
        <v>0</v>
      </c>
      <c r="AM11" s="66">
        <f t="shared" si="5"/>
        <v>0</v>
      </c>
      <c r="AN11" s="66">
        <f t="shared" si="5"/>
        <v>0</v>
      </c>
      <c r="AO11" s="66">
        <f t="shared" si="5"/>
        <v>0</v>
      </c>
    </row>
    <row r="12" spans="1:41" ht="12.75">
      <c r="A12" s="32">
        <f t="shared" si="6"/>
        <v>36100</v>
      </c>
      <c r="B12" s="36">
        <f>IF($A12="","",IF(VLOOKUP($A12,TrendFacDump,2,FALSE)=0,0,VLOOKUP(EOMONTH(ValDat,-1)+1,TrendFacDump,2,FALSE)/VLOOKUP($A12,TrendFacDump,2,FALSE)))</f>
        <v>1.1680878402055834</v>
      </c>
      <c r="C12" s="50">
        <f t="shared" si="1"/>
        <v>2780.754</v>
      </c>
      <c r="D12" s="66">
        <f t="shared" si="7"/>
        <v>292014</v>
      </c>
      <c r="E12" s="67">
        <f>IF($A12="","",E11+F12+G11+H10+I9)</f>
        <v>436397</v>
      </c>
      <c r="F12" s="70">
        <f t="shared" si="2"/>
        <v>49927</v>
      </c>
      <c r="G12" s="70">
        <f t="shared" si="2"/>
        <v>140535</v>
      </c>
      <c r="H12" s="70">
        <f t="shared" si="2"/>
        <v>51889</v>
      </c>
      <c r="I12" s="70">
        <f t="shared" si="2"/>
        <v>49663</v>
      </c>
      <c r="J12" s="66">
        <f t="shared" si="2"/>
        <v>0</v>
      </c>
      <c r="K12" s="66">
        <f t="shared" si="2"/>
        <v>0</v>
      </c>
      <c r="L12" s="66">
        <f t="shared" si="2"/>
        <v>0</v>
      </c>
      <c r="M12" s="66">
        <f t="shared" si="2"/>
        <v>0</v>
      </c>
      <c r="N12" s="66">
        <f t="shared" si="2"/>
        <v>0</v>
      </c>
      <c r="O12" s="66">
        <f t="shared" si="2"/>
        <v>0</v>
      </c>
      <c r="P12" s="66">
        <f t="shared" si="3"/>
        <v>0</v>
      </c>
      <c r="Q12" s="66">
        <f t="shared" si="3"/>
        <v>0</v>
      </c>
      <c r="R12" s="66">
        <f t="shared" si="3"/>
        <v>0</v>
      </c>
      <c r="S12" s="66">
        <f t="shared" si="3"/>
        <v>0</v>
      </c>
      <c r="T12" s="66">
        <f t="shared" si="3"/>
        <v>0</v>
      </c>
      <c r="U12" s="66">
        <f t="shared" si="3"/>
        <v>0</v>
      </c>
      <c r="V12" s="66">
        <f t="shared" si="3"/>
        <v>0</v>
      </c>
      <c r="W12" s="66">
        <f t="shared" si="3"/>
        <v>0</v>
      </c>
      <c r="X12" s="66">
        <f t="shared" si="3"/>
        <v>0</v>
      </c>
      <c r="Y12" s="66">
        <f t="shared" si="3"/>
        <v>0</v>
      </c>
      <c r="Z12" s="66">
        <f t="shared" si="4"/>
        <v>0</v>
      </c>
      <c r="AA12" s="66">
        <f t="shared" si="4"/>
        <v>0</v>
      </c>
      <c r="AB12" s="66">
        <f t="shared" si="4"/>
        <v>0</v>
      </c>
      <c r="AC12" s="66">
        <f t="shared" si="4"/>
        <v>0</v>
      </c>
      <c r="AD12" s="66">
        <f t="shared" si="4"/>
        <v>0</v>
      </c>
      <c r="AE12" s="66">
        <f t="shared" si="4"/>
        <v>0</v>
      </c>
      <c r="AF12" s="66">
        <f t="shared" si="4"/>
        <v>0</v>
      </c>
      <c r="AG12" s="66">
        <f t="shared" si="4"/>
        <v>0</v>
      </c>
      <c r="AH12" s="66">
        <f t="shared" si="4"/>
        <v>0</v>
      </c>
      <c r="AI12" s="66">
        <f t="shared" si="4"/>
        <v>0</v>
      </c>
      <c r="AJ12" s="66">
        <f t="shared" si="5"/>
        <v>0</v>
      </c>
      <c r="AK12" s="66">
        <f t="shared" si="5"/>
        <v>0</v>
      </c>
      <c r="AL12" s="66">
        <f t="shared" si="5"/>
        <v>0</v>
      </c>
      <c r="AM12" s="66">
        <f t="shared" si="5"/>
        <v>0</v>
      </c>
      <c r="AN12" s="66">
        <f t="shared" si="5"/>
        <v>0</v>
      </c>
      <c r="AO12" s="66">
        <f t="shared" si="5"/>
        <v>0</v>
      </c>
    </row>
    <row r="13" spans="1:41" ht="12.75">
      <c r="A13" s="32">
        <f t="shared" si="6"/>
        <v>36130</v>
      </c>
      <c r="B13" s="36">
        <f>IF($A13="","",IF(VLOOKUP($A13,TrendFacDump,2,FALSE)=0,0,VLOOKUP(EOMONTH(ValDat,-1)+1,TrendFacDump,2,FALSE)/VLOOKUP($A13,TrendFacDump,2,FALSE)))</f>
        <v>1.1623852144600721</v>
      </c>
      <c r="C13" s="50">
        <f t="shared" si="1"/>
        <v>2826.459</v>
      </c>
      <c r="D13" s="66">
        <f t="shared" si="7"/>
        <v>109763</v>
      </c>
      <c r="E13" s="67">
        <f>IF($A13="","",E12+F13+G12+H11+I10+J9)</f>
        <v>637273</v>
      </c>
      <c r="F13" s="70">
        <f t="shared" si="2"/>
        <v>6022</v>
      </c>
      <c r="G13" s="70">
        <f t="shared" si="2"/>
        <v>55145</v>
      </c>
      <c r="H13" s="70">
        <f t="shared" si="2"/>
        <v>17920</v>
      </c>
      <c r="I13" s="70">
        <f t="shared" si="2"/>
        <v>25255</v>
      </c>
      <c r="J13" s="66">
        <f t="shared" si="2"/>
        <v>5019</v>
      </c>
      <c r="K13" s="66">
        <f t="shared" si="2"/>
        <v>402</v>
      </c>
      <c r="L13" s="66">
        <f t="shared" si="2"/>
        <v>0</v>
      </c>
      <c r="M13" s="66">
        <f t="shared" si="2"/>
        <v>0</v>
      </c>
      <c r="N13" s="66">
        <f t="shared" si="2"/>
        <v>0</v>
      </c>
      <c r="O13" s="66">
        <f t="shared" si="2"/>
        <v>0</v>
      </c>
      <c r="P13" s="66">
        <f t="shared" si="3"/>
        <v>0</v>
      </c>
      <c r="Q13" s="66">
        <f t="shared" si="3"/>
        <v>0</v>
      </c>
      <c r="R13" s="66">
        <f t="shared" si="3"/>
        <v>0</v>
      </c>
      <c r="S13" s="66">
        <f t="shared" si="3"/>
        <v>0</v>
      </c>
      <c r="T13" s="66">
        <f t="shared" si="3"/>
        <v>0</v>
      </c>
      <c r="U13" s="66">
        <f t="shared" si="3"/>
        <v>0</v>
      </c>
      <c r="V13" s="66">
        <f t="shared" si="3"/>
        <v>0</v>
      </c>
      <c r="W13" s="66">
        <f t="shared" si="3"/>
        <v>0</v>
      </c>
      <c r="X13" s="66">
        <f t="shared" si="3"/>
        <v>0</v>
      </c>
      <c r="Y13" s="66">
        <f t="shared" si="3"/>
        <v>0</v>
      </c>
      <c r="Z13" s="66">
        <f t="shared" si="4"/>
        <v>0</v>
      </c>
      <c r="AA13" s="66">
        <f t="shared" si="4"/>
        <v>0</v>
      </c>
      <c r="AB13" s="66">
        <f t="shared" si="4"/>
        <v>0</v>
      </c>
      <c r="AC13" s="66">
        <f t="shared" si="4"/>
        <v>0</v>
      </c>
      <c r="AD13" s="66">
        <f t="shared" si="4"/>
        <v>0</v>
      </c>
      <c r="AE13" s="66">
        <f t="shared" si="4"/>
        <v>0</v>
      </c>
      <c r="AF13" s="66">
        <f t="shared" si="4"/>
        <v>0</v>
      </c>
      <c r="AG13" s="66">
        <f t="shared" si="4"/>
        <v>0</v>
      </c>
      <c r="AH13" s="66">
        <f t="shared" si="4"/>
        <v>0</v>
      </c>
      <c r="AI13" s="66">
        <f t="shared" si="4"/>
        <v>0</v>
      </c>
      <c r="AJ13" s="66">
        <f t="shared" si="5"/>
        <v>0</v>
      </c>
      <c r="AK13" s="66">
        <f t="shared" si="5"/>
        <v>0</v>
      </c>
      <c r="AL13" s="66">
        <f t="shared" si="5"/>
        <v>0</v>
      </c>
      <c r="AM13" s="66">
        <f t="shared" si="5"/>
        <v>0</v>
      </c>
      <c r="AN13" s="66">
        <f t="shared" si="5"/>
        <v>0</v>
      </c>
      <c r="AO13" s="66">
        <f t="shared" si="5"/>
        <v>0</v>
      </c>
    </row>
    <row r="14" spans="1:41" ht="12.75">
      <c r="A14" s="32">
        <f t="shared" si="6"/>
        <v>36161</v>
      </c>
      <c r="B14" s="36">
        <f>IF($A14="","",IF(VLOOKUP($A14,TrendFacDump,2,FALSE)=0,0,VLOOKUP(EOMONTH(ValDat,-1)+1,TrendFacDump,2,FALSE)/VLOOKUP($A14,TrendFacDump,2,FALSE)))</f>
        <v>1.1568718186024989</v>
      </c>
      <c r="C14" s="50">
        <f t="shared" si="1"/>
        <v>2835.062</v>
      </c>
      <c r="D14" s="66">
        <f t="shared" si="7"/>
        <v>109763</v>
      </c>
      <c r="E14" s="67">
        <f>IF($A14="","",E13+F14+G13+H12+I11+J10+K9)</f>
        <v>825464</v>
      </c>
      <c r="F14" s="70">
        <f t="shared" si="2"/>
        <v>31494</v>
      </c>
      <c r="G14" s="70">
        <f t="shared" si="2"/>
        <v>39304</v>
      </c>
      <c r="H14" s="70">
        <f t="shared" si="2"/>
        <v>24477</v>
      </c>
      <c r="I14" s="70">
        <f t="shared" si="2"/>
        <v>9937</v>
      </c>
      <c r="J14" s="66">
        <f t="shared" si="2"/>
        <v>4149</v>
      </c>
      <c r="K14" s="66">
        <f t="shared" si="2"/>
        <v>402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6">
        <f t="shared" si="3"/>
        <v>0</v>
      </c>
      <c r="Q14" s="66">
        <f t="shared" si="3"/>
        <v>0</v>
      </c>
      <c r="R14" s="66">
        <f t="shared" si="3"/>
        <v>0</v>
      </c>
      <c r="S14" s="66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66">
        <f t="shared" si="4"/>
        <v>0</v>
      </c>
      <c r="AA14" s="66">
        <f t="shared" si="4"/>
        <v>0</v>
      </c>
      <c r="AB14" s="66">
        <f t="shared" si="4"/>
        <v>0</v>
      </c>
      <c r="AC14" s="66">
        <f t="shared" si="4"/>
        <v>0</v>
      </c>
      <c r="AD14" s="66">
        <f t="shared" si="4"/>
        <v>0</v>
      </c>
      <c r="AE14" s="66">
        <f t="shared" si="4"/>
        <v>0</v>
      </c>
      <c r="AF14" s="66">
        <f t="shared" si="4"/>
        <v>0</v>
      </c>
      <c r="AG14" s="66">
        <f t="shared" si="4"/>
        <v>0</v>
      </c>
      <c r="AH14" s="66">
        <f t="shared" si="4"/>
        <v>0</v>
      </c>
      <c r="AI14" s="66">
        <f t="shared" si="4"/>
        <v>0</v>
      </c>
      <c r="AJ14" s="66">
        <f t="shared" si="5"/>
        <v>0</v>
      </c>
      <c r="AK14" s="66">
        <f t="shared" si="5"/>
        <v>0</v>
      </c>
      <c r="AL14" s="66">
        <f t="shared" si="5"/>
        <v>0</v>
      </c>
      <c r="AM14" s="66">
        <f t="shared" si="5"/>
        <v>0</v>
      </c>
      <c r="AN14" s="66">
        <f t="shared" si="5"/>
        <v>0</v>
      </c>
      <c r="AO14" s="66">
        <f t="shared" si="5"/>
        <v>0</v>
      </c>
    </row>
    <row r="15" spans="1:41" ht="12.75">
      <c r="A15" s="32">
        <f t="shared" si="6"/>
        <v>36192</v>
      </c>
      <c r="B15" s="36">
        <f>IF($A15="","",IF(VLOOKUP($A15,TrendFacDump,2,FALSE)=0,0,VLOOKUP(EOMONTH(ValDat,-1)+1,TrendFacDump,2,FALSE)/VLOOKUP($A15,TrendFacDump,2,FALSE)))</f>
        <v>1.1512779184895232</v>
      </c>
      <c r="C15" s="50">
        <f t="shared" si="1"/>
        <v>2816.626</v>
      </c>
      <c r="D15" s="66">
        <f t="shared" si="7"/>
        <v>164681</v>
      </c>
      <c r="E15" s="67">
        <f>IF($A14="","",E14+F15+G14+H13+I12+J11+K10+L9)</f>
        <v>946010</v>
      </c>
      <c r="F15" s="70">
        <f t="shared" si="2"/>
        <v>13659</v>
      </c>
      <c r="G15" s="70">
        <f t="shared" si="2"/>
        <v>80920</v>
      </c>
      <c r="H15" s="70">
        <f t="shared" si="2"/>
        <v>40769</v>
      </c>
      <c r="I15" s="70">
        <f t="shared" si="2"/>
        <v>15086</v>
      </c>
      <c r="J15" s="66">
        <f t="shared" si="2"/>
        <v>8570</v>
      </c>
      <c r="K15" s="66">
        <f t="shared" si="2"/>
        <v>4171</v>
      </c>
      <c r="L15" s="66">
        <f t="shared" si="2"/>
        <v>913</v>
      </c>
      <c r="M15" s="66">
        <f t="shared" si="2"/>
        <v>593</v>
      </c>
      <c r="N15" s="66">
        <f t="shared" si="2"/>
        <v>0</v>
      </c>
      <c r="O15" s="66">
        <f t="shared" si="2"/>
        <v>0</v>
      </c>
      <c r="P15" s="66">
        <f t="shared" si="3"/>
        <v>0</v>
      </c>
      <c r="Q15" s="66">
        <f t="shared" si="3"/>
        <v>0</v>
      </c>
      <c r="R15" s="66">
        <f t="shared" si="3"/>
        <v>0</v>
      </c>
      <c r="S15" s="66">
        <f t="shared" si="3"/>
        <v>0</v>
      </c>
      <c r="T15" s="66">
        <f t="shared" si="3"/>
        <v>0</v>
      </c>
      <c r="U15" s="66">
        <f t="shared" si="3"/>
        <v>0</v>
      </c>
      <c r="V15" s="66">
        <f t="shared" si="3"/>
        <v>0</v>
      </c>
      <c r="W15" s="66">
        <f t="shared" si="3"/>
        <v>0</v>
      </c>
      <c r="X15" s="66">
        <f t="shared" si="3"/>
        <v>0</v>
      </c>
      <c r="Y15" s="66">
        <f t="shared" si="3"/>
        <v>0</v>
      </c>
      <c r="Z15" s="66">
        <f t="shared" si="4"/>
        <v>0</v>
      </c>
      <c r="AA15" s="66">
        <f t="shared" si="4"/>
        <v>0</v>
      </c>
      <c r="AB15" s="66">
        <f t="shared" si="4"/>
        <v>0</v>
      </c>
      <c r="AC15" s="66">
        <f t="shared" si="4"/>
        <v>0</v>
      </c>
      <c r="AD15" s="66">
        <f t="shared" si="4"/>
        <v>0</v>
      </c>
      <c r="AE15" s="66">
        <f t="shared" si="4"/>
        <v>0</v>
      </c>
      <c r="AF15" s="66">
        <f t="shared" si="4"/>
        <v>0</v>
      </c>
      <c r="AG15" s="66">
        <f t="shared" si="4"/>
        <v>0</v>
      </c>
      <c r="AH15" s="66">
        <f t="shared" si="4"/>
        <v>0</v>
      </c>
      <c r="AI15" s="66">
        <f t="shared" si="4"/>
        <v>0</v>
      </c>
      <c r="AJ15" s="66">
        <f t="shared" si="5"/>
        <v>0</v>
      </c>
      <c r="AK15" s="66">
        <f t="shared" si="5"/>
        <v>0</v>
      </c>
      <c r="AL15" s="66">
        <f t="shared" si="5"/>
        <v>0</v>
      </c>
      <c r="AM15" s="66">
        <f t="shared" si="5"/>
        <v>0</v>
      </c>
      <c r="AN15" s="66">
        <f t="shared" si="5"/>
        <v>0</v>
      </c>
      <c r="AO15" s="66">
        <f t="shared" si="5"/>
        <v>0</v>
      </c>
    </row>
    <row r="16" spans="1:41" ht="12.75">
      <c r="A16" s="32">
        <f t="shared" si="6"/>
        <v>36220</v>
      </c>
      <c r="B16" s="36">
        <f>IF($A16="","",IF(VLOOKUP($A16,TrendFacDump,2,FALSE)=0,0,VLOOKUP(EOMONTH(ValDat,-1)+1,TrendFacDump,2,FALSE)/VLOOKUP($A16,TrendFacDump,2,FALSE)))</f>
        <v>1.1456065986940085</v>
      </c>
      <c r="C16" s="50">
        <f t="shared" si="1"/>
        <v>2829.576</v>
      </c>
      <c r="D16" s="66">
        <f t="shared" si="7"/>
        <v>164681</v>
      </c>
      <c r="E16" s="67">
        <f>IF($A16="","",E15+F16+G15+H14+I13+J12+K11+L10+M9)</f>
        <v>1134597</v>
      </c>
      <c r="F16" s="70">
        <f t="shared" si="2"/>
        <v>57935</v>
      </c>
      <c r="G16" s="70">
        <f t="shared" si="2"/>
        <v>68120</v>
      </c>
      <c r="H16" s="70">
        <f t="shared" si="2"/>
        <v>13660</v>
      </c>
      <c r="I16" s="70">
        <f t="shared" si="2"/>
        <v>10719</v>
      </c>
      <c r="J16" s="66">
        <f t="shared" si="2"/>
        <v>11697</v>
      </c>
      <c r="K16" s="66">
        <f t="shared" si="2"/>
        <v>1703</v>
      </c>
      <c r="L16" s="66">
        <f t="shared" si="2"/>
        <v>254</v>
      </c>
      <c r="M16" s="66">
        <f t="shared" si="2"/>
        <v>593</v>
      </c>
      <c r="N16" s="66">
        <f t="shared" si="2"/>
        <v>0</v>
      </c>
      <c r="O16" s="66">
        <f t="shared" si="2"/>
        <v>0</v>
      </c>
      <c r="P16" s="66">
        <f t="shared" si="3"/>
        <v>0</v>
      </c>
      <c r="Q16" s="66">
        <f t="shared" si="3"/>
        <v>0</v>
      </c>
      <c r="R16" s="66">
        <f t="shared" si="3"/>
        <v>0</v>
      </c>
      <c r="S16" s="66">
        <f t="shared" si="3"/>
        <v>0</v>
      </c>
      <c r="T16" s="66">
        <f t="shared" si="3"/>
        <v>0</v>
      </c>
      <c r="U16" s="66">
        <f t="shared" si="3"/>
        <v>0</v>
      </c>
      <c r="V16" s="66">
        <f t="shared" si="3"/>
        <v>0</v>
      </c>
      <c r="W16" s="66">
        <f t="shared" si="3"/>
        <v>0</v>
      </c>
      <c r="X16" s="66">
        <f t="shared" si="3"/>
        <v>0</v>
      </c>
      <c r="Y16" s="66">
        <f t="shared" si="3"/>
        <v>0</v>
      </c>
      <c r="Z16" s="66">
        <f t="shared" si="4"/>
        <v>0</v>
      </c>
      <c r="AA16" s="66">
        <f t="shared" si="4"/>
        <v>0</v>
      </c>
      <c r="AB16" s="66">
        <f t="shared" si="4"/>
        <v>0</v>
      </c>
      <c r="AC16" s="66">
        <f t="shared" si="4"/>
        <v>0</v>
      </c>
      <c r="AD16" s="66">
        <f t="shared" si="4"/>
        <v>0</v>
      </c>
      <c r="AE16" s="66">
        <f t="shared" si="4"/>
        <v>0</v>
      </c>
      <c r="AF16" s="66">
        <f t="shared" si="4"/>
        <v>0</v>
      </c>
      <c r="AG16" s="66">
        <f t="shared" si="4"/>
        <v>0</v>
      </c>
      <c r="AH16" s="66">
        <f t="shared" si="4"/>
        <v>0</v>
      </c>
      <c r="AI16" s="66">
        <f t="shared" si="4"/>
        <v>0</v>
      </c>
      <c r="AJ16" s="66">
        <f t="shared" si="5"/>
        <v>0</v>
      </c>
      <c r="AK16" s="66">
        <f t="shared" si="5"/>
        <v>0</v>
      </c>
      <c r="AL16" s="66">
        <f t="shared" si="5"/>
        <v>0</v>
      </c>
      <c r="AM16" s="66">
        <f t="shared" si="5"/>
        <v>0</v>
      </c>
      <c r="AN16" s="66">
        <f t="shared" si="5"/>
        <v>0</v>
      </c>
      <c r="AO16" s="66">
        <f t="shared" si="5"/>
        <v>0</v>
      </c>
    </row>
    <row r="17" spans="1:41" ht="12.75">
      <c r="A17" s="32">
        <f t="shared" si="6"/>
        <v>36251</v>
      </c>
      <c r="B17" s="36">
        <f>IF($A17="","",IF(VLOOKUP($A17,TrendFacDump,2,FALSE)=0,0,VLOOKUP(EOMONTH(ValDat,-1)+1,TrendFacDump,2,FALSE)/VLOOKUP($A17,TrendFacDump,2,FALSE)))</f>
        <v>1.1401208528103979</v>
      </c>
      <c r="C17" s="50">
        <f t="shared" si="1"/>
        <v>2910.367</v>
      </c>
      <c r="D17" s="66">
        <f t="shared" si="7"/>
        <v>171773</v>
      </c>
      <c r="E17" s="67">
        <f>IF($A17="","",E16+F17+G16+H15+I14+J13+K12+L11+M10+N9)</f>
        <v>1275375</v>
      </c>
      <c r="F17" s="70">
        <f t="shared" si="2"/>
        <v>16933</v>
      </c>
      <c r="G17" s="70">
        <f t="shared" si="2"/>
        <v>64705</v>
      </c>
      <c r="H17" s="70">
        <f t="shared" si="2"/>
        <v>35845</v>
      </c>
      <c r="I17" s="70">
        <f t="shared" si="2"/>
        <v>36513</v>
      </c>
      <c r="J17" s="66">
        <f t="shared" si="2"/>
        <v>13434</v>
      </c>
      <c r="K17" s="66">
        <f t="shared" si="2"/>
        <v>1335</v>
      </c>
      <c r="L17" s="66">
        <f t="shared" si="2"/>
        <v>1739</v>
      </c>
      <c r="M17" s="66">
        <f t="shared" si="2"/>
        <v>150</v>
      </c>
      <c r="N17" s="66">
        <f t="shared" si="2"/>
        <v>64</v>
      </c>
      <c r="O17" s="66">
        <f t="shared" si="2"/>
        <v>1055</v>
      </c>
      <c r="P17" s="66">
        <f t="shared" si="3"/>
        <v>0</v>
      </c>
      <c r="Q17" s="66">
        <f t="shared" si="3"/>
        <v>0</v>
      </c>
      <c r="R17" s="66">
        <f t="shared" si="3"/>
        <v>0</v>
      </c>
      <c r="S17" s="66">
        <f t="shared" si="3"/>
        <v>0</v>
      </c>
      <c r="T17" s="66">
        <f t="shared" si="3"/>
        <v>0</v>
      </c>
      <c r="U17" s="66">
        <f t="shared" si="3"/>
        <v>0</v>
      </c>
      <c r="V17" s="66">
        <f t="shared" si="3"/>
        <v>0</v>
      </c>
      <c r="W17" s="66">
        <f t="shared" si="3"/>
        <v>0</v>
      </c>
      <c r="X17" s="66">
        <f t="shared" si="3"/>
        <v>0</v>
      </c>
      <c r="Y17" s="66">
        <f t="shared" si="3"/>
        <v>0</v>
      </c>
      <c r="Z17" s="66">
        <f t="shared" si="4"/>
        <v>0</v>
      </c>
      <c r="AA17" s="66">
        <f t="shared" si="4"/>
        <v>0</v>
      </c>
      <c r="AB17" s="66">
        <f t="shared" si="4"/>
        <v>0</v>
      </c>
      <c r="AC17" s="66">
        <f t="shared" si="4"/>
        <v>0</v>
      </c>
      <c r="AD17" s="66">
        <f t="shared" si="4"/>
        <v>0</v>
      </c>
      <c r="AE17" s="66">
        <f t="shared" si="4"/>
        <v>0</v>
      </c>
      <c r="AF17" s="66">
        <f t="shared" si="4"/>
        <v>0</v>
      </c>
      <c r="AG17" s="66">
        <f t="shared" si="4"/>
        <v>0</v>
      </c>
      <c r="AH17" s="66">
        <f t="shared" si="4"/>
        <v>0</v>
      </c>
      <c r="AI17" s="66">
        <f t="shared" si="4"/>
        <v>0</v>
      </c>
      <c r="AJ17" s="66">
        <f t="shared" si="5"/>
        <v>0</v>
      </c>
      <c r="AK17" s="66">
        <f t="shared" si="5"/>
        <v>0</v>
      </c>
      <c r="AL17" s="66">
        <f t="shared" si="5"/>
        <v>0</v>
      </c>
      <c r="AM17" s="66">
        <f t="shared" si="5"/>
        <v>0</v>
      </c>
      <c r="AN17" s="66">
        <f t="shared" si="5"/>
        <v>0</v>
      </c>
      <c r="AO17" s="66">
        <f t="shared" si="5"/>
        <v>0</v>
      </c>
    </row>
    <row r="18" spans="1:41" ht="12.75">
      <c r="A18" s="32">
        <f t="shared" si="6"/>
        <v>36281</v>
      </c>
      <c r="B18" s="36">
        <f>IF($A18="","",IF(VLOOKUP($A18,TrendFacDump,2,FALSE)=0,0,VLOOKUP(EOMONTH(ValDat,-1)+1,TrendFacDump,2,FALSE)/VLOOKUP($A18,TrendFacDump,2,FALSE)))</f>
        <v>1.1345586566825505</v>
      </c>
      <c r="C18" s="50">
        <f t="shared" si="1"/>
        <v>2874.026</v>
      </c>
      <c r="D18" s="66">
        <f t="shared" si="7"/>
        <v>171773</v>
      </c>
      <c r="E18" s="67">
        <f>IF($A18="","",E17+F18+G17+H16+I15+J14+K13+L12+M11+N10+O9)</f>
        <v>1409504</v>
      </c>
      <c r="F18" s="70">
        <f t="shared" si="2"/>
        <v>36127</v>
      </c>
      <c r="G18" s="70">
        <f t="shared" si="2"/>
        <v>62953</v>
      </c>
      <c r="H18" s="70">
        <f t="shared" si="2"/>
        <v>22027</v>
      </c>
      <c r="I18" s="70">
        <f t="shared" si="2"/>
        <v>34250</v>
      </c>
      <c r="J18" s="66">
        <f t="shared" si="2"/>
        <v>12905</v>
      </c>
      <c r="K18" s="66">
        <f t="shared" si="2"/>
        <v>1541</v>
      </c>
      <c r="L18" s="66">
        <f t="shared" si="2"/>
        <v>701</v>
      </c>
      <c r="M18" s="66">
        <f t="shared" si="2"/>
        <v>150</v>
      </c>
      <c r="N18" s="66">
        <f t="shared" si="2"/>
        <v>64</v>
      </c>
      <c r="O18" s="66">
        <f t="shared" si="2"/>
        <v>1055</v>
      </c>
      <c r="P18" s="66">
        <f t="shared" si="3"/>
        <v>0</v>
      </c>
      <c r="Q18" s="66">
        <f t="shared" si="3"/>
        <v>0</v>
      </c>
      <c r="R18" s="66">
        <f t="shared" si="3"/>
        <v>0</v>
      </c>
      <c r="S18" s="66">
        <f t="shared" si="3"/>
        <v>0</v>
      </c>
      <c r="T18" s="66">
        <f t="shared" si="3"/>
        <v>0</v>
      </c>
      <c r="U18" s="66">
        <f t="shared" si="3"/>
        <v>0</v>
      </c>
      <c r="V18" s="66">
        <f t="shared" si="3"/>
        <v>0</v>
      </c>
      <c r="W18" s="66">
        <f t="shared" si="3"/>
        <v>0</v>
      </c>
      <c r="X18" s="66">
        <f t="shared" si="3"/>
        <v>0</v>
      </c>
      <c r="Y18" s="66">
        <f t="shared" si="3"/>
        <v>0</v>
      </c>
      <c r="Z18" s="66">
        <f t="shared" si="4"/>
        <v>0</v>
      </c>
      <c r="AA18" s="66">
        <f t="shared" si="4"/>
        <v>0</v>
      </c>
      <c r="AB18" s="66">
        <f t="shared" si="4"/>
        <v>0</v>
      </c>
      <c r="AC18" s="66">
        <f t="shared" si="4"/>
        <v>0</v>
      </c>
      <c r="AD18" s="66">
        <f t="shared" si="4"/>
        <v>0</v>
      </c>
      <c r="AE18" s="66">
        <f t="shared" si="4"/>
        <v>0</v>
      </c>
      <c r="AF18" s="66">
        <f t="shared" si="4"/>
        <v>0</v>
      </c>
      <c r="AG18" s="66">
        <f t="shared" si="4"/>
        <v>0</v>
      </c>
      <c r="AH18" s="66">
        <f t="shared" si="4"/>
        <v>0</v>
      </c>
      <c r="AI18" s="66">
        <f t="shared" si="4"/>
        <v>0</v>
      </c>
      <c r="AJ18" s="66">
        <f t="shared" si="5"/>
        <v>0</v>
      </c>
      <c r="AK18" s="66">
        <f t="shared" si="5"/>
        <v>0</v>
      </c>
      <c r="AL18" s="66">
        <f t="shared" si="5"/>
        <v>0</v>
      </c>
      <c r="AM18" s="66">
        <f t="shared" si="5"/>
        <v>0</v>
      </c>
      <c r="AN18" s="66">
        <f t="shared" si="5"/>
        <v>0</v>
      </c>
      <c r="AO18" s="66">
        <f t="shared" si="5"/>
        <v>0</v>
      </c>
    </row>
    <row r="19" spans="1:41" ht="12.75">
      <c r="A19" s="32">
        <f t="shared" si="6"/>
        <v>36312</v>
      </c>
      <c r="B19" s="36">
        <f>IF($A19="","",IF(VLOOKUP($A19,TrendFacDump,2,FALSE)=0,0,VLOOKUP(EOMONTH(ValDat,-1)+1,TrendFacDump,2,FALSE)/VLOOKUP($A19,TrendFacDump,2,FALSE)))</f>
        <v>1.1290504685559444</v>
      </c>
      <c r="C19" s="50">
        <f t="shared" si="1"/>
        <v>2840.922</v>
      </c>
      <c r="D19" s="66">
        <f t="shared" si="7"/>
        <v>294045</v>
      </c>
      <c r="E19" s="67">
        <f>IF($A19="","",E18+F19+G18+H17+I16+J15+K14+L13+M12+N11+O10+P9)</f>
        <v>1544624</v>
      </c>
      <c r="F19" s="70">
        <f t="shared" si="2"/>
        <v>16631</v>
      </c>
      <c r="G19" s="70">
        <f t="shared" si="2"/>
        <v>145028</v>
      </c>
      <c r="H19" s="70">
        <f t="shared" si="2"/>
        <v>48307</v>
      </c>
      <c r="I19" s="70">
        <f t="shared" si="2"/>
        <v>6744</v>
      </c>
      <c r="J19" s="66">
        <f t="shared" si="2"/>
        <v>43499</v>
      </c>
      <c r="K19" s="66">
        <f t="shared" si="2"/>
        <v>10999</v>
      </c>
      <c r="L19" s="66">
        <f t="shared" si="2"/>
        <v>6831</v>
      </c>
      <c r="M19" s="66">
        <f t="shared" si="2"/>
        <v>14862</v>
      </c>
      <c r="N19" s="66">
        <f t="shared" si="2"/>
        <v>638</v>
      </c>
      <c r="O19" s="66">
        <f t="shared" si="2"/>
        <v>86</v>
      </c>
      <c r="P19" s="66">
        <f t="shared" si="3"/>
        <v>0</v>
      </c>
      <c r="Q19" s="66">
        <f t="shared" si="3"/>
        <v>420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66">
        <f t="shared" si="3"/>
        <v>0</v>
      </c>
      <c r="Z19" s="66">
        <f t="shared" si="4"/>
        <v>0</v>
      </c>
      <c r="AA19" s="66">
        <f t="shared" si="4"/>
        <v>0</v>
      </c>
      <c r="AB19" s="66">
        <f t="shared" si="4"/>
        <v>0</v>
      </c>
      <c r="AC19" s="66">
        <f t="shared" si="4"/>
        <v>0</v>
      </c>
      <c r="AD19" s="66">
        <f t="shared" si="4"/>
        <v>0</v>
      </c>
      <c r="AE19" s="66">
        <f t="shared" si="4"/>
        <v>0</v>
      </c>
      <c r="AF19" s="66">
        <f t="shared" si="4"/>
        <v>0</v>
      </c>
      <c r="AG19" s="66">
        <f t="shared" si="4"/>
        <v>0</v>
      </c>
      <c r="AH19" s="66">
        <f t="shared" si="4"/>
        <v>0</v>
      </c>
      <c r="AI19" s="66">
        <f t="shared" si="4"/>
        <v>0</v>
      </c>
      <c r="AJ19" s="66">
        <f t="shared" si="5"/>
        <v>0</v>
      </c>
      <c r="AK19" s="66">
        <f t="shared" si="5"/>
        <v>0</v>
      </c>
      <c r="AL19" s="66">
        <f t="shared" si="5"/>
        <v>0</v>
      </c>
      <c r="AM19" s="66">
        <f t="shared" si="5"/>
        <v>0</v>
      </c>
      <c r="AN19" s="66">
        <f t="shared" si="5"/>
        <v>0</v>
      </c>
      <c r="AO19" s="66">
        <f t="shared" si="5"/>
        <v>0</v>
      </c>
    </row>
    <row r="20" spans="1:41" ht="12.75">
      <c r="A20" s="32">
        <f t="shared" si="6"/>
        <v>36342</v>
      </c>
      <c r="B20" s="36">
        <f>IF($A20="","",IF(VLOOKUP($A20,TrendFacDump,2,FALSE)=0,0,VLOOKUP(EOMONTH(ValDat,-1)+1,TrendFacDump,2,FALSE)/VLOOKUP($A20,TrendFacDump,2,FALSE)))</f>
        <v>1.1235955056179776</v>
      </c>
      <c r="C20" s="50">
        <f t="shared" si="1"/>
        <v>2830.386</v>
      </c>
      <c r="D20" s="66">
        <f t="shared" si="7"/>
        <v>294045</v>
      </c>
      <c r="E20" s="67">
        <f>IF($A20="","",E19+F20+G19+H18+I17+J16+K15+L14+M13+N12+O11+P10+Q9)</f>
        <v>1862562</v>
      </c>
      <c r="F20" s="70">
        <f t="shared" si="2"/>
        <v>98502</v>
      </c>
      <c r="G20" s="70">
        <f t="shared" si="2"/>
        <v>96530</v>
      </c>
      <c r="H20" s="70">
        <f t="shared" si="2"/>
        <v>25198</v>
      </c>
      <c r="I20" s="70">
        <f t="shared" si="2"/>
        <v>25454</v>
      </c>
      <c r="J20" s="66">
        <f t="shared" si="2"/>
        <v>21540</v>
      </c>
      <c r="K20" s="66">
        <f t="shared" si="2"/>
        <v>10627</v>
      </c>
      <c r="L20" s="66">
        <f t="shared" si="2"/>
        <v>188</v>
      </c>
      <c r="M20" s="66">
        <f t="shared" si="2"/>
        <v>14862</v>
      </c>
      <c r="N20" s="66">
        <f t="shared" si="2"/>
        <v>711</v>
      </c>
      <c r="O20" s="66">
        <f t="shared" si="2"/>
        <v>13</v>
      </c>
      <c r="P20" s="66">
        <f t="shared" si="3"/>
        <v>420</v>
      </c>
      <c r="Q20" s="66">
        <f t="shared" si="3"/>
        <v>0</v>
      </c>
      <c r="R20" s="66">
        <f t="shared" si="3"/>
        <v>0</v>
      </c>
      <c r="S20" s="66">
        <f t="shared" si="3"/>
        <v>0</v>
      </c>
      <c r="T20" s="66">
        <f t="shared" si="3"/>
        <v>0</v>
      </c>
      <c r="U20" s="66">
        <f t="shared" si="3"/>
        <v>0</v>
      </c>
      <c r="V20" s="66">
        <f t="shared" si="3"/>
        <v>0</v>
      </c>
      <c r="W20" s="66">
        <f t="shared" si="3"/>
        <v>0</v>
      </c>
      <c r="X20" s="66">
        <f t="shared" si="3"/>
        <v>0</v>
      </c>
      <c r="Y20" s="66">
        <f t="shared" si="3"/>
        <v>0</v>
      </c>
      <c r="Z20" s="66">
        <f t="shared" si="4"/>
        <v>0</v>
      </c>
      <c r="AA20" s="66">
        <f t="shared" si="4"/>
        <v>0</v>
      </c>
      <c r="AB20" s="66">
        <f t="shared" si="4"/>
        <v>0</v>
      </c>
      <c r="AC20" s="66">
        <f t="shared" si="4"/>
        <v>0</v>
      </c>
      <c r="AD20" s="66">
        <f t="shared" si="4"/>
        <v>0</v>
      </c>
      <c r="AE20" s="66">
        <f t="shared" si="4"/>
        <v>0</v>
      </c>
      <c r="AF20" s="66">
        <f t="shared" si="4"/>
        <v>0</v>
      </c>
      <c r="AG20" s="66">
        <f t="shared" si="4"/>
        <v>0</v>
      </c>
      <c r="AH20" s="66">
        <f t="shared" si="4"/>
        <v>0</v>
      </c>
      <c r="AI20" s="66">
        <f t="shared" si="4"/>
        <v>0</v>
      </c>
      <c r="AJ20" s="66">
        <f t="shared" si="5"/>
        <v>0</v>
      </c>
      <c r="AK20" s="66">
        <f t="shared" si="5"/>
        <v>0</v>
      </c>
      <c r="AL20" s="66">
        <f t="shared" si="5"/>
        <v>0</v>
      </c>
      <c r="AM20" s="66">
        <f t="shared" si="5"/>
        <v>0</v>
      </c>
      <c r="AN20" s="66">
        <f t="shared" si="5"/>
        <v>0</v>
      </c>
      <c r="AO20" s="66">
        <f t="shared" si="5"/>
        <v>0</v>
      </c>
    </row>
    <row r="21" spans="1:41" ht="12.75">
      <c r="A21" s="32">
        <f t="shared" si="6"/>
        <v>36373</v>
      </c>
      <c r="B21" s="36">
        <f>IF($A21="","",IF(VLOOKUP($A21,TrendFacDump,2,FALSE)=0,0,VLOOKUP(EOMONTH(ValDat,-1)+1,TrendFacDump,2,FALSE)/VLOOKUP($A21,TrendFacDump,2,FALSE)))</f>
        <v>1.1181930001118192</v>
      </c>
      <c r="C21" s="50">
        <f t="shared" si="1"/>
        <v>2957.813</v>
      </c>
      <c r="D21" s="66">
        <f t="shared" si="7"/>
        <v>111076</v>
      </c>
      <c r="E21" s="67">
        <f>IF($A21="","",E20+F21+G20+H19+I18+J17+K16+L15+M14+N13+O12+P11+Q10+R9)</f>
        <v>2065877</v>
      </c>
      <c r="F21" s="70">
        <f t="shared" si="2"/>
        <v>8178</v>
      </c>
      <c r="G21" s="70">
        <f t="shared" si="2"/>
        <v>50538</v>
      </c>
      <c r="H21" s="70">
        <f t="shared" si="2"/>
        <v>21390</v>
      </c>
      <c r="I21" s="70">
        <f t="shared" si="2"/>
        <v>25812</v>
      </c>
      <c r="J21" s="66">
        <f t="shared" si="2"/>
        <v>3445</v>
      </c>
      <c r="K21" s="66">
        <f t="shared" si="2"/>
        <v>-482</v>
      </c>
      <c r="L21" s="66">
        <f t="shared" si="2"/>
        <v>1182</v>
      </c>
      <c r="M21" s="66">
        <f t="shared" si="2"/>
        <v>512</v>
      </c>
      <c r="N21" s="66">
        <f t="shared" si="2"/>
        <v>61</v>
      </c>
      <c r="O21" s="66">
        <f t="shared" si="2"/>
        <v>-300</v>
      </c>
      <c r="P21" s="66">
        <f t="shared" si="3"/>
        <v>0</v>
      </c>
      <c r="Q21" s="66">
        <f t="shared" si="3"/>
        <v>454</v>
      </c>
      <c r="R21" s="66">
        <f t="shared" si="3"/>
        <v>286</v>
      </c>
      <c r="S21" s="66">
        <f t="shared" si="3"/>
        <v>0</v>
      </c>
      <c r="T21" s="66">
        <f t="shared" si="3"/>
        <v>0</v>
      </c>
      <c r="U21" s="66">
        <f t="shared" si="3"/>
        <v>0</v>
      </c>
      <c r="V21" s="66">
        <f t="shared" si="3"/>
        <v>0</v>
      </c>
      <c r="W21" s="66">
        <f t="shared" si="3"/>
        <v>0</v>
      </c>
      <c r="X21" s="66">
        <f t="shared" si="3"/>
        <v>0</v>
      </c>
      <c r="Y21" s="66">
        <f t="shared" si="3"/>
        <v>0</v>
      </c>
      <c r="Z21" s="66">
        <f t="shared" si="4"/>
        <v>0</v>
      </c>
      <c r="AA21" s="66">
        <f t="shared" si="4"/>
        <v>0</v>
      </c>
      <c r="AB21" s="66">
        <f t="shared" si="4"/>
        <v>0</v>
      </c>
      <c r="AC21" s="66">
        <f t="shared" si="4"/>
        <v>0</v>
      </c>
      <c r="AD21" s="66">
        <f t="shared" si="4"/>
        <v>0</v>
      </c>
      <c r="AE21" s="66">
        <f t="shared" si="4"/>
        <v>0</v>
      </c>
      <c r="AF21" s="66">
        <f t="shared" si="4"/>
        <v>0</v>
      </c>
      <c r="AG21" s="66">
        <f t="shared" si="4"/>
        <v>0</v>
      </c>
      <c r="AH21" s="66">
        <f t="shared" si="4"/>
        <v>0</v>
      </c>
      <c r="AI21" s="66">
        <f t="shared" si="4"/>
        <v>0</v>
      </c>
      <c r="AJ21" s="66">
        <f t="shared" si="5"/>
        <v>0</v>
      </c>
      <c r="AK21" s="66">
        <f t="shared" si="5"/>
        <v>0</v>
      </c>
      <c r="AL21" s="66">
        <f t="shared" si="5"/>
        <v>0</v>
      </c>
      <c r="AM21" s="66">
        <f t="shared" si="5"/>
        <v>0</v>
      </c>
      <c r="AN21" s="66">
        <f t="shared" si="5"/>
        <v>0</v>
      </c>
      <c r="AO21" s="66">
        <f t="shared" si="5"/>
        <v>0</v>
      </c>
    </row>
    <row r="22" spans="1:41" ht="12.75">
      <c r="A22" s="32">
        <f t="shared" si="6"/>
        <v>36404</v>
      </c>
      <c r="B22" s="36">
        <f>IF($A22="","",IF(VLOOKUP($A22,TrendFacDump,2,FALSE)=0,0,VLOOKUP(EOMONTH(ValDat,-1)+1,TrendFacDump,2,FALSE)/VLOOKUP($A22,TrendFacDump,2,FALSE)))</f>
        <v>1.1127183709803048</v>
      </c>
      <c r="C22" s="50">
        <f t="shared" si="1"/>
        <v>2973.885</v>
      </c>
      <c r="D22" s="66">
        <f t="shared" si="7"/>
        <v>111076</v>
      </c>
      <c r="E22" s="67">
        <f>IF($A22="","",E21+F22+G21+H20+I19+J18+K17+L16+M15+N14+O13+P12+Q11+R10+S9)</f>
        <v>2185577</v>
      </c>
      <c r="F22" s="70">
        <f t="shared" si="2"/>
        <v>22133</v>
      </c>
      <c r="G22" s="70">
        <f t="shared" si="2"/>
        <v>43202</v>
      </c>
      <c r="H22" s="70">
        <f t="shared" si="2"/>
        <v>19233</v>
      </c>
      <c r="I22" s="70">
        <f t="shared" si="2"/>
        <v>23721</v>
      </c>
      <c r="J22" s="66">
        <f t="shared" si="2"/>
        <v>1187</v>
      </c>
      <c r="K22" s="66">
        <f t="shared" si="2"/>
        <v>-269</v>
      </c>
      <c r="L22" s="66">
        <f t="shared" si="2"/>
        <v>856</v>
      </c>
      <c r="M22" s="66">
        <f t="shared" si="2"/>
        <v>553</v>
      </c>
      <c r="N22" s="66">
        <f t="shared" si="2"/>
        <v>20</v>
      </c>
      <c r="O22" s="66">
        <f t="shared" si="2"/>
        <v>-300</v>
      </c>
      <c r="P22" s="66">
        <f t="shared" si="3"/>
        <v>374</v>
      </c>
      <c r="Q22" s="66">
        <f t="shared" si="3"/>
        <v>80</v>
      </c>
      <c r="R22" s="66">
        <f t="shared" si="3"/>
        <v>286</v>
      </c>
      <c r="S22" s="66">
        <f t="shared" si="3"/>
        <v>0</v>
      </c>
      <c r="T22" s="66">
        <f t="shared" si="3"/>
        <v>0</v>
      </c>
      <c r="U22" s="66">
        <f t="shared" si="3"/>
        <v>0</v>
      </c>
      <c r="V22" s="66">
        <f t="shared" si="3"/>
        <v>0</v>
      </c>
      <c r="W22" s="66">
        <f t="shared" si="3"/>
        <v>0</v>
      </c>
      <c r="X22" s="66">
        <f t="shared" si="3"/>
        <v>0</v>
      </c>
      <c r="Y22" s="66">
        <f t="shared" si="3"/>
        <v>0</v>
      </c>
      <c r="Z22" s="66">
        <f t="shared" si="4"/>
        <v>0</v>
      </c>
      <c r="AA22" s="66">
        <f t="shared" si="4"/>
        <v>0</v>
      </c>
      <c r="AB22" s="66">
        <f t="shared" si="4"/>
        <v>0</v>
      </c>
      <c r="AC22" s="66">
        <f t="shared" si="4"/>
        <v>0</v>
      </c>
      <c r="AD22" s="66">
        <f t="shared" si="4"/>
        <v>0</v>
      </c>
      <c r="AE22" s="66">
        <f t="shared" si="4"/>
        <v>0</v>
      </c>
      <c r="AF22" s="66">
        <f t="shared" si="4"/>
        <v>0</v>
      </c>
      <c r="AG22" s="66">
        <f t="shared" si="4"/>
        <v>0</v>
      </c>
      <c r="AH22" s="66">
        <f t="shared" si="4"/>
        <v>0</v>
      </c>
      <c r="AI22" s="66">
        <f t="shared" si="4"/>
        <v>0</v>
      </c>
      <c r="AJ22" s="66">
        <f t="shared" si="5"/>
        <v>0</v>
      </c>
      <c r="AK22" s="66">
        <f t="shared" si="5"/>
        <v>0</v>
      </c>
      <c r="AL22" s="66">
        <f t="shared" si="5"/>
        <v>0</v>
      </c>
      <c r="AM22" s="66">
        <f t="shared" si="5"/>
        <v>0</v>
      </c>
      <c r="AN22" s="66">
        <f t="shared" si="5"/>
        <v>0</v>
      </c>
      <c r="AO22" s="66">
        <f t="shared" si="5"/>
        <v>0</v>
      </c>
    </row>
    <row r="23" spans="1:41" ht="12.75">
      <c r="A23" s="32">
        <f t="shared" si="6"/>
        <v>36434</v>
      </c>
      <c r="B23" s="36">
        <f>IF($A23="","",IF(VLOOKUP($A23,TrendFacDump,2,FALSE)=0,0,VLOOKUP(EOMONTH(ValDat,-1)+1,TrendFacDump,2,FALSE)/VLOOKUP($A23,TrendFacDump,2,FALSE)))</f>
        <v>1.107297087808659</v>
      </c>
      <c r="C23" s="50">
        <f t="shared" si="1"/>
        <v>2943.35</v>
      </c>
      <c r="D23" s="66">
        <f t="shared" si="7"/>
        <v>171436</v>
      </c>
      <c r="E23" s="67">
        <f>IF($A23="","",E22+F23+G22+H21+I20+J19+K18+L17+M16+N15+O14+P13+Q12+R11+S10+T9)</f>
        <v>2331882</v>
      </c>
      <c r="F23" s="70">
        <f t="shared" si="2"/>
        <v>8887</v>
      </c>
      <c r="G23" s="70">
        <f t="shared" si="2"/>
        <v>57900</v>
      </c>
      <c r="H23" s="70">
        <f t="shared" si="2"/>
        <v>69592</v>
      </c>
      <c r="I23" s="70">
        <f t="shared" si="2"/>
        <v>13073</v>
      </c>
      <c r="J23" s="66">
        <f t="shared" si="2"/>
        <v>3966</v>
      </c>
      <c r="K23" s="66">
        <f t="shared" si="2"/>
        <v>7382</v>
      </c>
      <c r="L23" s="66">
        <f t="shared" si="2"/>
        <v>990</v>
      </c>
      <c r="M23" s="66">
        <f t="shared" si="2"/>
        <v>1455</v>
      </c>
      <c r="N23" s="66">
        <f t="shared" si="2"/>
        <v>1212</v>
      </c>
      <c r="O23" s="66">
        <f t="shared" si="2"/>
        <v>252</v>
      </c>
      <c r="P23" s="66">
        <f t="shared" si="3"/>
        <v>-208</v>
      </c>
      <c r="Q23" s="66">
        <f t="shared" si="3"/>
        <v>4466</v>
      </c>
      <c r="R23" s="66">
        <f t="shared" si="3"/>
        <v>924</v>
      </c>
      <c r="S23" s="66">
        <f t="shared" si="3"/>
        <v>85</v>
      </c>
      <c r="T23" s="66">
        <f t="shared" si="3"/>
        <v>1460</v>
      </c>
      <c r="U23" s="66">
        <f t="shared" si="3"/>
        <v>0</v>
      </c>
      <c r="V23" s="66">
        <f t="shared" si="3"/>
        <v>0</v>
      </c>
      <c r="W23" s="66">
        <f t="shared" si="3"/>
        <v>0</v>
      </c>
      <c r="X23" s="66">
        <f t="shared" si="3"/>
        <v>0</v>
      </c>
      <c r="Y23" s="66">
        <f t="shared" si="3"/>
        <v>0</v>
      </c>
      <c r="Z23" s="66">
        <f t="shared" si="4"/>
        <v>0</v>
      </c>
      <c r="AA23" s="66">
        <f t="shared" si="4"/>
        <v>0</v>
      </c>
      <c r="AB23" s="66">
        <f t="shared" si="4"/>
        <v>0</v>
      </c>
      <c r="AC23" s="66">
        <f t="shared" si="4"/>
        <v>0</v>
      </c>
      <c r="AD23" s="66">
        <f t="shared" si="4"/>
        <v>0</v>
      </c>
      <c r="AE23" s="66">
        <f t="shared" si="4"/>
        <v>0</v>
      </c>
      <c r="AF23" s="66">
        <f t="shared" si="4"/>
        <v>0</v>
      </c>
      <c r="AG23" s="66">
        <f t="shared" si="4"/>
        <v>0</v>
      </c>
      <c r="AH23" s="66">
        <f t="shared" si="4"/>
        <v>0</v>
      </c>
      <c r="AI23" s="66">
        <f t="shared" si="4"/>
        <v>0</v>
      </c>
      <c r="AJ23" s="66">
        <f t="shared" si="5"/>
        <v>0</v>
      </c>
      <c r="AK23" s="66">
        <f t="shared" si="5"/>
        <v>0</v>
      </c>
      <c r="AL23" s="66">
        <f t="shared" si="5"/>
        <v>0</v>
      </c>
      <c r="AM23" s="66">
        <f t="shared" si="5"/>
        <v>0</v>
      </c>
      <c r="AN23" s="66">
        <f t="shared" si="5"/>
        <v>0</v>
      </c>
      <c r="AO23" s="66">
        <f t="shared" si="5"/>
        <v>0</v>
      </c>
    </row>
    <row r="24" spans="1:41" ht="12.75">
      <c r="A24" s="32">
        <f t="shared" si="6"/>
        <v>36465</v>
      </c>
      <c r="B24" s="36">
        <f>IF($A24="","",IF(VLOOKUP($A24,TrendFacDump,2,FALSE)=0,0,VLOOKUP(EOMONTH(ValDat,-1)+1,TrendFacDump,2,FALSE)/VLOOKUP($A24,TrendFacDump,2,FALSE)))</f>
        <v>1.1019283746556474</v>
      </c>
      <c r="C24" s="50">
        <f t="shared" si="1"/>
        <v>3014.083</v>
      </c>
      <c r="D24" s="66">
        <f t="shared" si="7"/>
        <v>171436</v>
      </c>
      <c r="E24" s="67">
        <f>IF($A24="","",E23+F24+G23+H22+I21+J20+K19+L18+M17+N16+O15+P14+Q13+R12+S11+T10+U9)</f>
        <v>2499783</v>
      </c>
      <c r="F24" s="70">
        <f t="shared" si="2"/>
        <v>31566</v>
      </c>
      <c r="G24" s="70">
        <f t="shared" si="2"/>
        <v>83114</v>
      </c>
      <c r="H24" s="70">
        <f t="shared" si="2"/>
        <v>23227</v>
      </c>
      <c r="I24" s="70">
        <f t="shared" si="2"/>
        <v>13635</v>
      </c>
      <c r="J24" s="66">
        <f t="shared" si="2"/>
        <v>5991</v>
      </c>
      <c r="K24" s="66">
        <f t="shared" si="2"/>
        <v>3977</v>
      </c>
      <c r="L24" s="66">
        <f t="shared" si="2"/>
        <v>323</v>
      </c>
      <c r="M24" s="66">
        <f t="shared" si="2"/>
        <v>1412</v>
      </c>
      <c r="N24" s="66">
        <f t="shared" si="2"/>
        <v>1242</v>
      </c>
      <c r="O24" s="66">
        <f t="shared" si="2"/>
        <v>450</v>
      </c>
      <c r="P24" s="66">
        <f t="shared" si="3"/>
        <v>-376</v>
      </c>
      <c r="Q24" s="66">
        <f t="shared" si="3"/>
        <v>4430</v>
      </c>
      <c r="R24" s="66">
        <f t="shared" si="3"/>
        <v>900</v>
      </c>
      <c r="S24" s="66">
        <f t="shared" si="3"/>
        <v>85</v>
      </c>
      <c r="T24" s="66">
        <f t="shared" si="3"/>
        <v>1460</v>
      </c>
      <c r="U24" s="66">
        <f t="shared" si="3"/>
        <v>0</v>
      </c>
      <c r="V24" s="66">
        <f t="shared" si="3"/>
        <v>0</v>
      </c>
      <c r="W24" s="66">
        <f t="shared" si="3"/>
        <v>0</v>
      </c>
      <c r="X24" s="66">
        <f t="shared" si="3"/>
        <v>0</v>
      </c>
      <c r="Y24" s="66">
        <f t="shared" si="3"/>
        <v>0</v>
      </c>
      <c r="Z24" s="66">
        <f t="shared" si="4"/>
        <v>0</v>
      </c>
      <c r="AA24" s="66">
        <f t="shared" si="4"/>
        <v>0</v>
      </c>
      <c r="AB24" s="66">
        <f t="shared" si="4"/>
        <v>0</v>
      </c>
      <c r="AC24" s="66">
        <f t="shared" si="4"/>
        <v>0</v>
      </c>
      <c r="AD24" s="66">
        <f t="shared" si="4"/>
        <v>0</v>
      </c>
      <c r="AE24" s="66">
        <f t="shared" si="4"/>
        <v>0</v>
      </c>
      <c r="AF24" s="66">
        <f t="shared" si="4"/>
        <v>0</v>
      </c>
      <c r="AG24" s="66">
        <f t="shared" si="4"/>
        <v>0</v>
      </c>
      <c r="AH24" s="66">
        <f t="shared" si="4"/>
        <v>0</v>
      </c>
      <c r="AI24" s="66">
        <f t="shared" si="4"/>
        <v>0</v>
      </c>
      <c r="AJ24" s="66">
        <f t="shared" si="5"/>
        <v>0</v>
      </c>
      <c r="AK24" s="66">
        <f t="shared" si="5"/>
        <v>0</v>
      </c>
      <c r="AL24" s="66">
        <f t="shared" si="5"/>
        <v>0</v>
      </c>
      <c r="AM24" s="66">
        <f t="shared" si="5"/>
        <v>0</v>
      </c>
      <c r="AN24" s="66">
        <f t="shared" si="5"/>
        <v>0</v>
      </c>
      <c r="AO24" s="66">
        <f t="shared" si="5"/>
        <v>0</v>
      </c>
    </row>
    <row r="25" spans="1:41" ht="12.75">
      <c r="A25" s="32">
        <f t="shared" si="6"/>
        <v>36495</v>
      </c>
      <c r="B25" s="36">
        <f>IF($A25="","",IF(VLOOKUP($A25,TrendFacDump,2,FALSE)=0,0,VLOOKUP(EOMONTH(ValDat,-1)+1,TrendFacDump,2,FALSE)/VLOOKUP($A25,TrendFacDump,2,FALSE)))</f>
        <v>1.096611470555982</v>
      </c>
      <c r="C25" s="50">
        <f t="shared" si="1"/>
        <v>3018.721</v>
      </c>
      <c r="D25" s="66">
        <f t="shared" si="7"/>
        <v>111538</v>
      </c>
      <c r="E25" s="67">
        <f>IF($A25="","",E24+F25+G24+H23+I22+J21+K20+L19+M18+N17+O16+P15+Q14+R13+S12+T11+U10+V9)</f>
        <v>2698648</v>
      </c>
      <c r="F25" s="70">
        <f aca="true" t="shared" si="8" ref="F25:U40">IF($A25="","",VLOOKUP($A25,ReportedDump,F$8+2,FALSE))</f>
        <v>1321</v>
      </c>
      <c r="G25" s="70">
        <f t="shared" si="8"/>
        <v>33300</v>
      </c>
      <c r="H25" s="70">
        <f t="shared" si="8"/>
        <v>30097</v>
      </c>
      <c r="I25" s="70">
        <f t="shared" si="8"/>
        <v>27921</v>
      </c>
      <c r="J25" s="66">
        <f t="shared" si="8"/>
        <v>5276</v>
      </c>
      <c r="K25" s="66">
        <f t="shared" si="8"/>
        <v>1752</v>
      </c>
      <c r="L25" s="66">
        <f t="shared" si="8"/>
        <v>9245</v>
      </c>
      <c r="M25" s="66">
        <f t="shared" si="8"/>
        <v>117</v>
      </c>
      <c r="N25" s="66">
        <f t="shared" si="8"/>
        <v>216</v>
      </c>
      <c r="O25" s="66">
        <f t="shared" si="8"/>
        <v>314</v>
      </c>
      <c r="P25" s="66">
        <f t="shared" si="8"/>
        <v>204</v>
      </c>
      <c r="Q25" s="66">
        <f t="shared" si="8"/>
        <v>442</v>
      </c>
      <c r="R25" s="66">
        <f t="shared" si="8"/>
        <v>561</v>
      </c>
      <c r="S25" s="66">
        <f t="shared" si="8"/>
        <v>179</v>
      </c>
      <c r="T25" s="66">
        <f t="shared" si="8"/>
        <v>17</v>
      </c>
      <c r="U25" s="66">
        <f t="shared" si="8"/>
        <v>273</v>
      </c>
      <c r="V25" s="66">
        <f aca="true" t="shared" si="9" ref="V25:AK44">IF($A25="","",VLOOKUP($A25,ReportedDump,V$8+2,FALSE))</f>
        <v>135</v>
      </c>
      <c r="W25" s="66">
        <f t="shared" si="9"/>
        <v>168</v>
      </c>
      <c r="X25" s="66">
        <f t="shared" si="9"/>
        <v>0</v>
      </c>
      <c r="Y25" s="66">
        <f t="shared" si="9"/>
        <v>0</v>
      </c>
      <c r="Z25" s="66">
        <f t="shared" si="9"/>
        <v>0</v>
      </c>
      <c r="AA25" s="66">
        <f t="shared" si="9"/>
        <v>0</v>
      </c>
      <c r="AB25" s="66">
        <f t="shared" si="9"/>
        <v>0</v>
      </c>
      <c r="AC25" s="66">
        <f t="shared" si="9"/>
        <v>0</v>
      </c>
      <c r="AD25" s="66">
        <f t="shared" si="9"/>
        <v>0</v>
      </c>
      <c r="AE25" s="66">
        <f t="shared" si="9"/>
        <v>0</v>
      </c>
      <c r="AF25" s="66">
        <f t="shared" si="9"/>
        <v>0</v>
      </c>
      <c r="AG25" s="66">
        <f t="shared" si="9"/>
        <v>0</v>
      </c>
      <c r="AH25" s="66">
        <f t="shared" si="9"/>
        <v>0</v>
      </c>
      <c r="AI25" s="66">
        <f t="shared" si="9"/>
        <v>0</v>
      </c>
      <c r="AJ25" s="66">
        <f t="shared" si="9"/>
        <v>0</v>
      </c>
      <c r="AK25" s="66">
        <f t="shared" si="9"/>
        <v>0</v>
      </c>
      <c r="AL25" s="66">
        <f aca="true" t="shared" si="10" ref="AJ25:AO44">IF($A25="","",VLOOKUP($A25,ReportedDump,AL$8+2,FALSE))</f>
        <v>0</v>
      </c>
      <c r="AM25" s="66">
        <f t="shared" si="10"/>
        <v>0</v>
      </c>
      <c r="AN25" s="66">
        <f t="shared" si="10"/>
        <v>0</v>
      </c>
      <c r="AO25" s="66">
        <f t="shared" si="10"/>
        <v>0</v>
      </c>
    </row>
    <row r="26" spans="1:41" ht="12.75">
      <c r="A26" s="32">
        <f t="shared" si="6"/>
        <v>36526</v>
      </c>
      <c r="B26" s="36">
        <f>IF($A26="","",IF(VLOOKUP($A26,TrendFacDump,2,FALSE)=0,0,VLOOKUP(EOMONTH(ValDat,-1)+1,TrendFacDump,2,FALSE)/VLOOKUP($A26,TrendFacDump,2,FALSE)))</f>
        <v>1.0913456291607553</v>
      </c>
      <c r="C26" s="50">
        <f t="shared" si="1"/>
        <v>3003.323</v>
      </c>
      <c r="D26" s="66">
        <f t="shared" si="7"/>
        <v>111538</v>
      </c>
      <c r="E26" s="67">
        <f>IF($A26="","",E25+F26+G25+H24+I23+J22+K21+L20+M19+N18+O17+P16+Q15+R14+S13+T12+U11+V10+W9)</f>
        <v>2800104</v>
      </c>
      <c r="F26" s="70">
        <f t="shared" si="8"/>
        <v>14982</v>
      </c>
      <c r="G26" s="70">
        <f t="shared" si="8"/>
        <v>44836</v>
      </c>
      <c r="H26" s="70">
        <f t="shared" si="8"/>
        <v>31946</v>
      </c>
      <c r="I26" s="70">
        <f t="shared" si="8"/>
        <v>3681</v>
      </c>
      <c r="J26" s="66">
        <f t="shared" si="8"/>
        <v>2985</v>
      </c>
      <c r="K26" s="66">
        <f t="shared" si="8"/>
        <v>1328</v>
      </c>
      <c r="L26" s="66">
        <f t="shared" si="8"/>
        <v>9314</v>
      </c>
      <c r="M26" s="66">
        <f t="shared" si="8"/>
        <v>117</v>
      </c>
      <c r="N26" s="66">
        <f t="shared" si="8"/>
        <v>56</v>
      </c>
      <c r="O26" s="66">
        <f t="shared" si="8"/>
        <v>430</v>
      </c>
      <c r="P26" s="66">
        <f t="shared" si="8"/>
        <v>88</v>
      </c>
      <c r="Q26" s="66">
        <f t="shared" si="8"/>
        <v>538</v>
      </c>
      <c r="R26" s="66">
        <f t="shared" si="8"/>
        <v>508</v>
      </c>
      <c r="S26" s="66">
        <f t="shared" si="8"/>
        <v>153</v>
      </c>
      <c r="T26" s="66">
        <f t="shared" si="8"/>
        <v>0</v>
      </c>
      <c r="U26" s="66">
        <f t="shared" si="8"/>
        <v>273</v>
      </c>
      <c r="V26" s="66">
        <f t="shared" si="9"/>
        <v>303</v>
      </c>
      <c r="W26" s="66">
        <f t="shared" si="9"/>
        <v>0</v>
      </c>
      <c r="X26" s="66">
        <f t="shared" si="9"/>
        <v>0</v>
      </c>
      <c r="Y26" s="66">
        <f t="shared" si="9"/>
        <v>0</v>
      </c>
      <c r="Z26" s="66">
        <f t="shared" si="9"/>
        <v>0</v>
      </c>
      <c r="AA26" s="66">
        <f t="shared" si="9"/>
        <v>0</v>
      </c>
      <c r="AB26" s="66">
        <f t="shared" si="9"/>
        <v>0</v>
      </c>
      <c r="AC26" s="66">
        <f t="shared" si="9"/>
        <v>0</v>
      </c>
      <c r="AD26" s="66">
        <f t="shared" si="9"/>
        <v>0</v>
      </c>
      <c r="AE26" s="66">
        <f t="shared" si="9"/>
        <v>0</v>
      </c>
      <c r="AF26" s="66">
        <f t="shared" si="9"/>
        <v>0</v>
      </c>
      <c r="AG26" s="66">
        <f t="shared" si="9"/>
        <v>0</v>
      </c>
      <c r="AH26" s="66">
        <f t="shared" si="9"/>
        <v>0</v>
      </c>
      <c r="AI26" s="66">
        <f t="shared" si="9"/>
        <v>0</v>
      </c>
      <c r="AJ26" s="66">
        <f t="shared" si="10"/>
        <v>0</v>
      </c>
      <c r="AK26" s="66">
        <f t="shared" si="10"/>
        <v>0</v>
      </c>
      <c r="AL26" s="66">
        <f t="shared" si="10"/>
        <v>0</v>
      </c>
      <c r="AM26" s="66">
        <f t="shared" si="10"/>
        <v>0</v>
      </c>
      <c r="AN26" s="66">
        <f t="shared" si="10"/>
        <v>0</v>
      </c>
      <c r="AO26" s="66">
        <f t="shared" si="10"/>
        <v>0</v>
      </c>
    </row>
    <row r="27" spans="1:41" ht="12.75">
      <c r="A27" s="32">
        <f t="shared" si="6"/>
        <v>36557</v>
      </c>
      <c r="B27" s="36">
        <f>IF($A27="","",IF(VLOOKUP($A27,TrendFacDump,2,FALSE)=0,0,VLOOKUP(EOMONTH(ValDat,-1)+1,TrendFacDump,2,FALSE)/VLOOKUP($A27,TrendFacDump,2,FALSE)))</f>
        <v>1.0860121633362294</v>
      </c>
      <c r="C27" s="50">
        <f t="shared" si="1"/>
        <v>3006.059</v>
      </c>
      <c r="D27" s="66">
        <f t="shared" si="7"/>
        <v>211563</v>
      </c>
      <c r="E27" s="67">
        <f>IF($A27="","",E26+F27+G26+H25+I24+J23+K22+L21+M20+N19+O18+P17+Q16+R15+S14+T13+U12+V11+W10+X9)</f>
        <v>2919842</v>
      </c>
      <c r="F27" s="70">
        <f t="shared" si="8"/>
        <v>9736</v>
      </c>
      <c r="G27" s="70">
        <f t="shared" si="8"/>
        <v>90376</v>
      </c>
      <c r="H27" s="70">
        <f t="shared" si="8"/>
        <v>64236</v>
      </c>
      <c r="I27" s="70">
        <f t="shared" si="8"/>
        <v>12899</v>
      </c>
      <c r="J27" s="66">
        <f t="shared" si="8"/>
        <v>29961</v>
      </c>
      <c r="K27" s="66">
        <f t="shared" si="8"/>
        <v>702</v>
      </c>
      <c r="L27" s="66">
        <f t="shared" si="8"/>
        <v>1231</v>
      </c>
      <c r="M27" s="66">
        <f t="shared" si="8"/>
        <v>530</v>
      </c>
      <c r="N27" s="66">
        <f t="shared" si="8"/>
        <v>991</v>
      </c>
      <c r="O27" s="66">
        <f t="shared" si="8"/>
        <v>30</v>
      </c>
      <c r="P27" s="66">
        <f t="shared" si="8"/>
        <v>0</v>
      </c>
      <c r="Q27" s="66">
        <f t="shared" si="8"/>
        <v>0</v>
      </c>
      <c r="R27" s="66">
        <f t="shared" si="8"/>
        <v>0</v>
      </c>
      <c r="S27" s="66">
        <f t="shared" si="8"/>
        <v>0</v>
      </c>
      <c r="T27" s="66">
        <f t="shared" si="8"/>
        <v>0</v>
      </c>
      <c r="U27" s="66">
        <f t="shared" si="8"/>
        <v>791</v>
      </c>
      <c r="V27" s="66">
        <f t="shared" si="9"/>
        <v>0</v>
      </c>
      <c r="W27" s="66">
        <f t="shared" si="9"/>
        <v>0</v>
      </c>
      <c r="X27" s="66">
        <f t="shared" si="9"/>
        <v>0</v>
      </c>
      <c r="Y27" s="66">
        <f t="shared" si="9"/>
        <v>80</v>
      </c>
      <c r="Z27" s="66">
        <f t="shared" si="9"/>
        <v>0</v>
      </c>
      <c r="AA27" s="66">
        <f t="shared" si="9"/>
        <v>0</v>
      </c>
      <c r="AB27" s="66">
        <f t="shared" si="9"/>
        <v>0</v>
      </c>
      <c r="AC27" s="66">
        <f t="shared" si="9"/>
        <v>0</v>
      </c>
      <c r="AD27" s="66">
        <f t="shared" si="9"/>
        <v>0</v>
      </c>
      <c r="AE27" s="66">
        <f t="shared" si="9"/>
        <v>0</v>
      </c>
      <c r="AF27" s="66">
        <f t="shared" si="9"/>
        <v>0</v>
      </c>
      <c r="AG27" s="66">
        <f t="shared" si="9"/>
        <v>0</v>
      </c>
      <c r="AH27" s="66">
        <f t="shared" si="9"/>
        <v>0</v>
      </c>
      <c r="AI27" s="66">
        <f t="shared" si="9"/>
        <v>0</v>
      </c>
      <c r="AJ27" s="66">
        <f t="shared" si="10"/>
        <v>0</v>
      </c>
      <c r="AK27" s="66">
        <f t="shared" si="10"/>
        <v>0</v>
      </c>
      <c r="AL27" s="66">
        <f t="shared" si="10"/>
        <v>0</v>
      </c>
      <c r="AM27" s="66">
        <f t="shared" si="10"/>
        <v>0</v>
      </c>
      <c r="AN27" s="66">
        <f t="shared" si="10"/>
        <v>0</v>
      </c>
      <c r="AO27" s="66">
        <f t="shared" si="10"/>
        <v>0</v>
      </c>
    </row>
    <row r="28" spans="1:41" ht="12.75">
      <c r="A28" s="32">
        <f t="shared" si="6"/>
        <v>36586</v>
      </c>
      <c r="B28" s="36">
        <f>IF($A28="","",IF(VLOOKUP($A28,TrendFacDump,2,FALSE)=0,0,VLOOKUP(EOMONTH(ValDat,-1)+1,TrendFacDump,2,FALSE)/VLOOKUP($A28,TrendFacDump,2,FALSE)))</f>
        <v>1.0808473843493298</v>
      </c>
      <c r="C28" s="50">
        <f t="shared" si="1"/>
        <v>3001.39</v>
      </c>
      <c r="D28" s="66">
        <f t="shared" si="7"/>
        <v>211563</v>
      </c>
      <c r="E28" s="67">
        <f>IF($A28="","",E27+F28+G27+H26+I25+J24+K23+L22+M21+N20+O19+P18+Q17+R16+S15+T14+U13+V12+W11+X10+Y9)</f>
        <v>3153697</v>
      </c>
      <c r="F28" s="70">
        <f t="shared" si="8"/>
        <v>68074</v>
      </c>
      <c r="G28" s="70">
        <f t="shared" si="8"/>
        <v>108795</v>
      </c>
      <c r="H28" s="70">
        <f t="shared" si="8"/>
        <v>22323</v>
      </c>
      <c r="I28" s="70">
        <f t="shared" si="8"/>
        <v>1146</v>
      </c>
      <c r="J28" s="66">
        <f t="shared" si="8"/>
        <v>6942</v>
      </c>
      <c r="K28" s="66">
        <f t="shared" si="8"/>
        <v>821</v>
      </c>
      <c r="L28" s="66">
        <f t="shared" si="8"/>
        <v>1096</v>
      </c>
      <c r="M28" s="66">
        <f t="shared" si="8"/>
        <v>511</v>
      </c>
      <c r="N28" s="66">
        <f t="shared" si="8"/>
        <v>954</v>
      </c>
      <c r="O28" s="66">
        <f t="shared" si="8"/>
        <v>30</v>
      </c>
      <c r="P28" s="66">
        <f t="shared" si="8"/>
        <v>0</v>
      </c>
      <c r="Q28" s="66">
        <f t="shared" si="8"/>
        <v>0</v>
      </c>
      <c r="R28" s="66">
        <f t="shared" si="8"/>
        <v>0</v>
      </c>
      <c r="S28" s="66">
        <f t="shared" si="8"/>
        <v>0</v>
      </c>
      <c r="T28" s="66">
        <f t="shared" si="8"/>
        <v>0</v>
      </c>
      <c r="U28" s="66">
        <f t="shared" si="8"/>
        <v>791</v>
      </c>
      <c r="V28" s="66">
        <f t="shared" si="9"/>
        <v>0</v>
      </c>
      <c r="W28" s="66">
        <f t="shared" si="9"/>
        <v>0</v>
      </c>
      <c r="X28" s="66">
        <f t="shared" si="9"/>
        <v>0</v>
      </c>
      <c r="Y28" s="66">
        <f t="shared" si="9"/>
        <v>80</v>
      </c>
      <c r="Z28" s="66">
        <f t="shared" si="9"/>
        <v>0</v>
      </c>
      <c r="AA28" s="66">
        <f t="shared" si="9"/>
        <v>0</v>
      </c>
      <c r="AB28" s="66">
        <f t="shared" si="9"/>
        <v>0</v>
      </c>
      <c r="AC28" s="66">
        <f t="shared" si="9"/>
        <v>0</v>
      </c>
      <c r="AD28" s="66">
        <f t="shared" si="9"/>
        <v>0</v>
      </c>
      <c r="AE28" s="66">
        <f t="shared" si="9"/>
        <v>0</v>
      </c>
      <c r="AF28" s="66">
        <f t="shared" si="9"/>
        <v>0</v>
      </c>
      <c r="AG28" s="66">
        <f t="shared" si="9"/>
        <v>0</v>
      </c>
      <c r="AH28" s="66">
        <f t="shared" si="9"/>
        <v>0</v>
      </c>
      <c r="AI28" s="66">
        <f t="shared" si="9"/>
        <v>0</v>
      </c>
      <c r="AJ28" s="66">
        <f t="shared" si="10"/>
        <v>0</v>
      </c>
      <c r="AK28" s="66">
        <f t="shared" si="10"/>
        <v>0</v>
      </c>
      <c r="AL28" s="66">
        <f t="shared" si="10"/>
        <v>0</v>
      </c>
      <c r="AM28" s="66">
        <f t="shared" si="10"/>
        <v>0</v>
      </c>
      <c r="AN28" s="66">
        <f t="shared" si="10"/>
        <v>0</v>
      </c>
      <c r="AO28" s="66">
        <f t="shared" si="10"/>
        <v>0</v>
      </c>
    </row>
    <row r="29" spans="1:41" ht="12.75">
      <c r="A29" s="32">
        <f t="shared" si="6"/>
        <v>36617</v>
      </c>
      <c r="B29" s="36">
        <f>IF($A29="","",IF(VLOOKUP($A29,TrendFacDump,2,FALSE)=0,0,VLOOKUP(EOMONTH(ValDat,-1)+1,TrendFacDump,2,FALSE)/VLOOKUP($A29,TrendFacDump,2,FALSE)))</f>
        <v>1.0755001075500108</v>
      </c>
      <c r="C29" s="50">
        <f t="shared" si="1"/>
        <v>3027.804</v>
      </c>
      <c r="D29" s="66">
        <f t="shared" si="7"/>
        <v>183194</v>
      </c>
      <c r="E29" s="67">
        <f>IF($A29="","",E28+F29+G28+H27+I26+J25+K24+L23+M22+N21+O20+P19+Q18+R17+S16+T15+U14+V13+W12+X11+Y10+Z9)</f>
        <v>3351480</v>
      </c>
      <c r="F29" s="70">
        <f t="shared" si="8"/>
        <v>10201</v>
      </c>
      <c r="G29" s="70">
        <f t="shared" si="8"/>
        <v>90658</v>
      </c>
      <c r="H29" s="70">
        <f t="shared" si="8"/>
        <v>24213</v>
      </c>
      <c r="I29" s="70">
        <f t="shared" si="8"/>
        <v>20107</v>
      </c>
      <c r="J29" s="66">
        <f t="shared" si="8"/>
        <v>28866</v>
      </c>
      <c r="K29" s="66">
        <f t="shared" si="8"/>
        <v>6492</v>
      </c>
      <c r="L29" s="66">
        <f t="shared" si="8"/>
        <v>1428</v>
      </c>
      <c r="M29" s="66">
        <f t="shared" si="8"/>
        <v>616</v>
      </c>
      <c r="N29" s="66">
        <f t="shared" si="8"/>
        <v>53</v>
      </c>
      <c r="O29" s="66">
        <f t="shared" si="8"/>
        <v>168</v>
      </c>
      <c r="P29" s="66">
        <f t="shared" si="8"/>
        <v>0</v>
      </c>
      <c r="Q29" s="66">
        <f t="shared" si="8"/>
        <v>0</v>
      </c>
      <c r="R29" s="66">
        <f t="shared" si="8"/>
        <v>0</v>
      </c>
      <c r="S29" s="66">
        <f t="shared" si="8"/>
        <v>0</v>
      </c>
      <c r="T29" s="66">
        <f t="shared" si="8"/>
        <v>0</v>
      </c>
      <c r="U29" s="66">
        <f t="shared" si="8"/>
        <v>0</v>
      </c>
      <c r="V29" s="66">
        <f t="shared" si="9"/>
        <v>0</v>
      </c>
      <c r="W29" s="66">
        <f t="shared" si="9"/>
        <v>392</v>
      </c>
      <c r="X29" s="66">
        <f t="shared" si="9"/>
        <v>0</v>
      </c>
      <c r="Y29" s="66">
        <f t="shared" si="9"/>
        <v>0</v>
      </c>
      <c r="Z29" s="66">
        <f t="shared" si="9"/>
        <v>0</v>
      </c>
      <c r="AA29" s="66">
        <f t="shared" si="9"/>
        <v>0</v>
      </c>
      <c r="AB29" s="66">
        <f t="shared" si="9"/>
        <v>0</v>
      </c>
      <c r="AC29" s="66">
        <f t="shared" si="9"/>
        <v>0</v>
      </c>
      <c r="AD29" s="66">
        <f t="shared" si="9"/>
        <v>0</v>
      </c>
      <c r="AE29" s="66">
        <f t="shared" si="9"/>
        <v>0</v>
      </c>
      <c r="AF29" s="66">
        <f t="shared" si="9"/>
        <v>0</v>
      </c>
      <c r="AG29" s="66">
        <f t="shared" si="9"/>
        <v>0</v>
      </c>
      <c r="AH29" s="66">
        <f t="shared" si="9"/>
        <v>0</v>
      </c>
      <c r="AI29" s="66">
        <f t="shared" si="9"/>
        <v>0</v>
      </c>
      <c r="AJ29" s="66">
        <f t="shared" si="10"/>
        <v>0</v>
      </c>
      <c r="AK29" s="66">
        <f t="shared" si="10"/>
        <v>0</v>
      </c>
      <c r="AL29" s="66">
        <f t="shared" si="10"/>
        <v>0</v>
      </c>
      <c r="AM29" s="66">
        <f t="shared" si="10"/>
        <v>0</v>
      </c>
      <c r="AN29" s="66">
        <f t="shared" si="10"/>
        <v>0</v>
      </c>
      <c r="AO29" s="66">
        <f t="shared" si="10"/>
        <v>0</v>
      </c>
    </row>
    <row r="30" spans="1:41" ht="12.75">
      <c r="A30" s="32">
        <f t="shared" si="6"/>
        <v>36647</v>
      </c>
      <c r="B30" s="36">
        <f>IF($A30="","",IF(VLOOKUP($A30,TrendFacDump,2,FALSE)=0,0,VLOOKUP(EOMONTH(ValDat,-1)+1,TrendFacDump,2,FALSE)/VLOOKUP($A30,TrendFacDump,2,FALSE)))</f>
        <v>1.0703200256876806</v>
      </c>
      <c r="C30" s="50">
        <f t="shared" si="1"/>
        <v>3053.259</v>
      </c>
      <c r="D30" s="66">
        <f t="shared" si="7"/>
        <v>183194</v>
      </c>
      <c r="E30" s="67">
        <f>IF($A30="","",E29+F30+G29+H28+I27+J26+K25+L24+M23+N22+O21+P20+Q19+R18+S17+T16+U15+V14+W13+X12+Y11+Z10+AA9)</f>
        <v>3564478</v>
      </c>
      <c r="F30" s="70">
        <f t="shared" si="8"/>
        <v>80043</v>
      </c>
      <c r="G30" s="70">
        <f t="shared" si="8"/>
        <v>39941</v>
      </c>
      <c r="H30" s="70">
        <f t="shared" si="8"/>
        <v>10905</v>
      </c>
      <c r="I30" s="70">
        <f t="shared" si="8"/>
        <v>38977</v>
      </c>
      <c r="J30" s="66">
        <f t="shared" si="8"/>
        <v>4745</v>
      </c>
      <c r="K30" s="66">
        <f t="shared" si="8"/>
        <v>6586</v>
      </c>
      <c r="L30" s="66">
        <f t="shared" si="8"/>
        <v>1310</v>
      </c>
      <c r="M30" s="66">
        <f t="shared" si="8"/>
        <v>107</v>
      </c>
      <c r="N30" s="66">
        <f t="shared" si="8"/>
        <v>20</v>
      </c>
      <c r="O30" s="66">
        <f t="shared" si="8"/>
        <v>168</v>
      </c>
      <c r="P30" s="66">
        <f t="shared" si="8"/>
        <v>0</v>
      </c>
      <c r="Q30" s="66">
        <f t="shared" si="8"/>
        <v>0</v>
      </c>
      <c r="R30" s="66">
        <f t="shared" si="8"/>
        <v>0</v>
      </c>
      <c r="S30" s="66">
        <f t="shared" si="8"/>
        <v>0</v>
      </c>
      <c r="T30" s="66">
        <f t="shared" si="8"/>
        <v>0</v>
      </c>
      <c r="U30" s="66">
        <f t="shared" si="8"/>
        <v>0</v>
      </c>
      <c r="V30" s="66">
        <f t="shared" si="9"/>
        <v>0</v>
      </c>
      <c r="W30" s="66">
        <f t="shared" si="9"/>
        <v>392</v>
      </c>
      <c r="X30" s="66">
        <f t="shared" si="9"/>
        <v>0</v>
      </c>
      <c r="Y30" s="66">
        <f t="shared" si="9"/>
        <v>0</v>
      </c>
      <c r="Z30" s="66">
        <f t="shared" si="9"/>
        <v>0</v>
      </c>
      <c r="AA30" s="66">
        <f t="shared" si="9"/>
        <v>0</v>
      </c>
      <c r="AB30" s="66">
        <f t="shared" si="9"/>
        <v>0</v>
      </c>
      <c r="AC30" s="66">
        <f t="shared" si="9"/>
        <v>0</v>
      </c>
      <c r="AD30" s="66">
        <f t="shared" si="9"/>
        <v>0</v>
      </c>
      <c r="AE30" s="66">
        <f t="shared" si="9"/>
        <v>0</v>
      </c>
      <c r="AF30" s="66">
        <f t="shared" si="9"/>
        <v>0</v>
      </c>
      <c r="AG30" s="66">
        <f t="shared" si="9"/>
        <v>0</v>
      </c>
      <c r="AH30" s="66">
        <f t="shared" si="9"/>
        <v>0</v>
      </c>
      <c r="AI30" s="66">
        <f t="shared" si="9"/>
        <v>0</v>
      </c>
      <c r="AJ30" s="66">
        <f t="shared" si="10"/>
        <v>0</v>
      </c>
      <c r="AK30" s="66">
        <f t="shared" si="10"/>
        <v>0</v>
      </c>
      <c r="AL30" s="66">
        <f t="shared" si="10"/>
        <v>0</v>
      </c>
      <c r="AM30" s="66">
        <f t="shared" si="10"/>
        <v>0</v>
      </c>
      <c r="AN30" s="66">
        <f t="shared" si="10"/>
        <v>0</v>
      </c>
      <c r="AO30" s="66">
        <f t="shared" si="10"/>
        <v>0</v>
      </c>
    </row>
    <row r="31" spans="1:41" ht="12.75">
      <c r="A31" s="32">
        <f t="shared" si="6"/>
        <v>36678</v>
      </c>
      <c r="B31" s="36">
        <f>IF($A31="","",IF(VLOOKUP($A31,TrendFacDump,2,FALSE)=0,0,VLOOKUP(EOMONTH(ValDat,-1)+1,TrendFacDump,2,FALSE)/VLOOKUP($A31,TrendFacDump,2,FALSE)))</f>
        <v>1.0651896037494675</v>
      </c>
      <c r="C31" s="50">
        <f t="shared" si="1"/>
        <v>3019.494</v>
      </c>
      <c r="D31" s="66">
        <f t="shared" si="7"/>
        <v>329297</v>
      </c>
      <c r="E31" s="67">
        <f>IF($A31="","",E30+F31+G30+H29+I28+J27+K26+L25+M24+N23+O22+P21+Q20+R19+S18+T17+U16+V15+W14+X13+Y12+Z11+AA10+AB9)</f>
        <v>3677137</v>
      </c>
      <c r="F31" s="70">
        <f t="shared" si="8"/>
        <v>4501</v>
      </c>
      <c r="G31" s="70">
        <f t="shared" si="8"/>
        <v>74638</v>
      </c>
      <c r="H31" s="70">
        <f t="shared" si="8"/>
        <v>87955</v>
      </c>
      <c r="I31" s="70">
        <f t="shared" si="8"/>
        <v>99302</v>
      </c>
      <c r="J31" s="66">
        <f t="shared" si="8"/>
        <v>13877</v>
      </c>
      <c r="K31" s="66">
        <f t="shared" si="8"/>
        <v>20118</v>
      </c>
      <c r="L31" s="66">
        <f t="shared" si="8"/>
        <v>5661</v>
      </c>
      <c r="M31" s="66">
        <f t="shared" si="8"/>
        <v>21364</v>
      </c>
      <c r="N31" s="66">
        <f t="shared" si="8"/>
        <v>159</v>
      </c>
      <c r="O31" s="66">
        <f t="shared" si="8"/>
        <v>480</v>
      </c>
      <c r="P31" s="66">
        <f t="shared" si="8"/>
        <v>28</v>
      </c>
      <c r="Q31" s="66">
        <f t="shared" si="8"/>
        <v>693</v>
      </c>
      <c r="R31" s="66">
        <f t="shared" si="8"/>
        <v>0</v>
      </c>
      <c r="S31" s="66">
        <f t="shared" si="8"/>
        <v>0</v>
      </c>
      <c r="T31" s="66">
        <f t="shared" si="8"/>
        <v>131</v>
      </c>
      <c r="U31" s="66">
        <f t="shared" si="8"/>
        <v>0</v>
      </c>
      <c r="V31" s="66">
        <f t="shared" si="9"/>
        <v>294</v>
      </c>
      <c r="W31" s="66">
        <f t="shared" si="9"/>
        <v>0</v>
      </c>
      <c r="X31" s="66">
        <f t="shared" si="9"/>
        <v>0</v>
      </c>
      <c r="Y31" s="66">
        <f t="shared" si="9"/>
        <v>96</v>
      </c>
      <c r="Z31" s="66">
        <f t="shared" si="9"/>
        <v>0</v>
      </c>
      <c r="AA31" s="66">
        <f t="shared" si="9"/>
        <v>0</v>
      </c>
      <c r="AB31" s="66">
        <f t="shared" si="9"/>
        <v>0</v>
      </c>
      <c r="AC31" s="66">
        <f t="shared" si="9"/>
        <v>0</v>
      </c>
      <c r="AD31" s="66">
        <f t="shared" si="9"/>
        <v>0</v>
      </c>
      <c r="AE31" s="66">
        <f t="shared" si="9"/>
        <v>0</v>
      </c>
      <c r="AF31" s="66">
        <f t="shared" si="9"/>
        <v>0</v>
      </c>
      <c r="AG31" s="66">
        <f t="shared" si="9"/>
        <v>0</v>
      </c>
      <c r="AH31" s="66">
        <f t="shared" si="9"/>
        <v>0</v>
      </c>
      <c r="AI31" s="66">
        <f t="shared" si="9"/>
        <v>0</v>
      </c>
      <c r="AJ31" s="66">
        <f t="shared" si="10"/>
        <v>0</v>
      </c>
      <c r="AK31" s="66">
        <f t="shared" si="10"/>
        <v>0</v>
      </c>
      <c r="AL31" s="66">
        <f t="shared" si="10"/>
        <v>0</v>
      </c>
      <c r="AM31" s="66">
        <f t="shared" si="10"/>
        <v>0</v>
      </c>
      <c r="AN31" s="66">
        <f t="shared" si="10"/>
        <v>0</v>
      </c>
      <c r="AO31" s="66">
        <f t="shared" si="10"/>
        <v>0</v>
      </c>
    </row>
    <row r="32" spans="1:41" ht="12.75">
      <c r="A32" s="32">
        <f t="shared" si="6"/>
        <v>36708</v>
      </c>
      <c r="B32" s="36">
        <f>IF($A32="","",IF(VLOOKUP($A32,TrendFacDump,2,FALSE)=0,0,VLOOKUP(EOMONTH(ValDat,-1)+1,TrendFacDump,2,FALSE)/VLOOKUP($A32,TrendFacDump,2,FALSE)))</f>
        <v>1.0599957600169598</v>
      </c>
      <c r="C32" s="50">
        <f t="shared" si="1"/>
        <v>3006.066</v>
      </c>
      <c r="D32" s="66">
        <f t="shared" si="7"/>
        <v>329297</v>
      </c>
      <c r="E32" s="67">
        <f>IF($A32="","",E31+F32+G31+H30+I29+J28+K27+L26+M25+N24+O23+P22+Q21+R20+S19+T18+U17+V16+W15+X14+Y13+Z12+AA11+AB10+AC9)</f>
        <v>3847679</v>
      </c>
      <c r="F32" s="70">
        <f t="shared" si="8"/>
        <v>45495</v>
      </c>
      <c r="G32" s="70">
        <f t="shared" si="8"/>
        <v>81868</v>
      </c>
      <c r="H32" s="70">
        <f t="shared" si="8"/>
        <v>96720</v>
      </c>
      <c r="I32" s="70">
        <f t="shared" si="8"/>
        <v>55381</v>
      </c>
      <c r="J32" s="66">
        <f t="shared" si="8"/>
        <v>3174</v>
      </c>
      <c r="K32" s="66">
        <f t="shared" si="8"/>
        <v>17865</v>
      </c>
      <c r="L32" s="66">
        <f t="shared" si="8"/>
        <v>5653</v>
      </c>
      <c r="M32" s="66">
        <f t="shared" si="8"/>
        <v>21419</v>
      </c>
      <c r="N32" s="66">
        <f t="shared" si="8"/>
        <v>0</v>
      </c>
      <c r="O32" s="66">
        <f t="shared" si="8"/>
        <v>480</v>
      </c>
      <c r="P32" s="66">
        <f t="shared" si="8"/>
        <v>702</v>
      </c>
      <c r="Q32" s="66">
        <f t="shared" si="8"/>
        <v>19</v>
      </c>
      <c r="R32" s="66">
        <f t="shared" si="8"/>
        <v>0</v>
      </c>
      <c r="S32" s="66">
        <f t="shared" si="8"/>
        <v>131</v>
      </c>
      <c r="T32" s="66">
        <f t="shared" si="8"/>
        <v>0</v>
      </c>
      <c r="U32" s="66">
        <f t="shared" si="8"/>
        <v>0</v>
      </c>
      <c r="V32" s="66">
        <f t="shared" si="9"/>
        <v>294</v>
      </c>
      <c r="W32" s="66">
        <f t="shared" si="9"/>
        <v>0</v>
      </c>
      <c r="X32" s="66">
        <f t="shared" si="9"/>
        <v>0</v>
      </c>
      <c r="Y32" s="66">
        <f t="shared" si="9"/>
        <v>96</v>
      </c>
      <c r="Z32" s="66">
        <f t="shared" si="9"/>
        <v>0</v>
      </c>
      <c r="AA32" s="66">
        <f t="shared" si="9"/>
        <v>0</v>
      </c>
      <c r="AB32" s="66">
        <f t="shared" si="9"/>
        <v>0</v>
      </c>
      <c r="AC32" s="66">
        <f t="shared" si="9"/>
        <v>0</v>
      </c>
      <c r="AD32" s="66">
        <f t="shared" si="9"/>
        <v>0</v>
      </c>
      <c r="AE32" s="66">
        <f t="shared" si="9"/>
        <v>0</v>
      </c>
      <c r="AF32" s="66">
        <f t="shared" si="9"/>
        <v>0</v>
      </c>
      <c r="AG32" s="66">
        <f t="shared" si="9"/>
        <v>0</v>
      </c>
      <c r="AH32" s="66">
        <f t="shared" si="9"/>
        <v>0</v>
      </c>
      <c r="AI32" s="66">
        <f t="shared" si="9"/>
        <v>0</v>
      </c>
      <c r="AJ32" s="66">
        <f t="shared" si="10"/>
        <v>0</v>
      </c>
      <c r="AK32" s="66">
        <f t="shared" si="10"/>
        <v>0</v>
      </c>
      <c r="AL32" s="66">
        <f t="shared" si="10"/>
        <v>0</v>
      </c>
      <c r="AM32" s="66">
        <f t="shared" si="10"/>
        <v>0</v>
      </c>
      <c r="AN32" s="66">
        <f t="shared" si="10"/>
        <v>0</v>
      </c>
      <c r="AO32" s="66">
        <f t="shared" si="10"/>
        <v>0</v>
      </c>
    </row>
    <row r="33" spans="1:41" ht="12.75">
      <c r="A33" s="32">
        <f t="shared" si="6"/>
        <v>36739</v>
      </c>
      <c r="B33" s="36">
        <f>IF($A33="","",IF(VLOOKUP($A33,TrendFacDump,2,FALSE)=0,0,VLOOKUP(EOMONTH(ValDat,-1)+1,TrendFacDump,2,FALSE)/VLOOKUP($A33,TrendFacDump,2,FALSE)))</f>
        <v>1.0548523206751055</v>
      </c>
      <c r="C33" s="50">
        <f t="shared" si="1"/>
        <v>2987.363</v>
      </c>
      <c r="D33" s="66">
        <f t="shared" si="7"/>
        <v>281510</v>
      </c>
      <c r="E33" s="67">
        <f>IF($A33="","",E32+F33+G32+H31+I30+J29+K28+L27+M26+N25+O24+P23+Q22+R21+S20+T19+U18+V17+W16+X15+Y14+Z13+AA12+AB11+AC10+AD9)</f>
        <v>4091290</v>
      </c>
      <c r="F33" s="70">
        <f t="shared" si="8"/>
        <v>2952</v>
      </c>
      <c r="G33" s="70">
        <f t="shared" si="8"/>
        <v>58928</v>
      </c>
      <c r="H33" s="70">
        <f t="shared" si="8"/>
        <v>130303</v>
      </c>
      <c r="I33" s="70">
        <f t="shared" si="8"/>
        <v>52128</v>
      </c>
      <c r="J33" s="66">
        <f t="shared" si="8"/>
        <v>14870</v>
      </c>
      <c r="K33" s="66">
        <f t="shared" si="8"/>
        <v>3898</v>
      </c>
      <c r="L33" s="66">
        <f t="shared" si="8"/>
        <v>15681</v>
      </c>
      <c r="M33" s="66">
        <f t="shared" si="8"/>
        <v>1013</v>
      </c>
      <c r="N33" s="66">
        <f t="shared" si="8"/>
        <v>981</v>
      </c>
      <c r="O33" s="66">
        <f t="shared" si="8"/>
        <v>121</v>
      </c>
      <c r="P33" s="66">
        <f t="shared" si="8"/>
        <v>0</v>
      </c>
      <c r="Q33" s="66">
        <f t="shared" si="8"/>
        <v>84</v>
      </c>
      <c r="R33" s="66">
        <f t="shared" si="8"/>
        <v>213</v>
      </c>
      <c r="S33" s="66">
        <f t="shared" si="8"/>
        <v>53</v>
      </c>
      <c r="T33" s="66">
        <f t="shared" si="8"/>
        <v>0</v>
      </c>
      <c r="U33" s="66">
        <f t="shared" si="8"/>
        <v>0</v>
      </c>
      <c r="V33" s="66">
        <f t="shared" si="9"/>
        <v>0</v>
      </c>
      <c r="W33" s="66">
        <f t="shared" si="9"/>
        <v>210</v>
      </c>
      <c r="X33" s="66">
        <f t="shared" si="9"/>
        <v>75</v>
      </c>
      <c r="Y33" s="66">
        <f t="shared" si="9"/>
        <v>0</v>
      </c>
      <c r="Z33" s="66">
        <f t="shared" si="9"/>
        <v>0</v>
      </c>
      <c r="AA33" s="66">
        <f t="shared" si="9"/>
        <v>0</v>
      </c>
      <c r="AB33" s="66">
        <f t="shared" si="9"/>
        <v>0</v>
      </c>
      <c r="AC33" s="66">
        <f t="shared" si="9"/>
        <v>0</v>
      </c>
      <c r="AD33" s="66">
        <f t="shared" si="9"/>
        <v>0</v>
      </c>
      <c r="AE33" s="66">
        <f t="shared" si="9"/>
        <v>0</v>
      </c>
      <c r="AF33" s="66">
        <f t="shared" si="9"/>
        <v>0</v>
      </c>
      <c r="AG33" s="66">
        <f t="shared" si="9"/>
        <v>0</v>
      </c>
      <c r="AH33" s="66">
        <f t="shared" si="9"/>
        <v>0</v>
      </c>
      <c r="AI33" s="66">
        <f t="shared" si="9"/>
        <v>0</v>
      </c>
      <c r="AJ33" s="66">
        <f t="shared" si="10"/>
        <v>0</v>
      </c>
      <c r="AK33" s="66">
        <f t="shared" si="10"/>
        <v>0</v>
      </c>
      <c r="AL33" s="66">
        <f t="shared" si="10"/>
        <v>0</v>
      </c>
      <c r="AM33" s="66">
        <f t="shared" si="10"/>
        <v>0</v>
      </c>
      <c r="AN33" s="66">
        <f t="shared" si="10"/>
        <v>0</v>
      </c>
      <c r="AO33" s="66">
        <f t="shared" si="10"/>
        <v>0</v>
      </c>
    </row>
    <row r="34" spans="1:41" ht="12.75">
      <c r="A34" s="32">
        <f t="shared" si="6"/>
        <v>36770</v>
      </c>
      <c r="B34" s="36">
        <f>IF($A34="","",IF(VLOOKUP($A34,TrendFacDump,2,FALSE)=0,0,VLOOKUP(EOMONTH(ValDat,-1)+1,TrendFacDump,2,FALSE)/VLOOKUP($A34,TrendFacDump,2,FALSE)))</f>
        <v>1.0497585555322275</v>
      </c>
      <c r="C34" s="50">
        <f t="shared" si="1"/>
        <v>2953.335</v>
      </c>
      <c r="D34" s="66">
        <f t="shared" si="7"/>
        <v>281510</v>
      </c>
      <c r="E34" s="67">
        <f>IF($A34="","",E33+F34+G33+H32+I31+J30+K29+L28+M27+N26+O25+P24+Q23+R22+S21+T20+U19+V18+W17+X16+Y15+Z14+AA13+AB12+AC11+AD10+AE9)</f>
        <v>4386439</v>
      </c>
      <c r="F34" s="70">
        <f t="shared" si="8"/>
        <v>22590</v>
      </c>
      <c r="G34" s="70">
        <f t="shared" si="8"/>
        <v>127706</v>
      </c>
      <c r="H34" s="70">
        <f t="shared" si="8"/>
        <v>52799</v>
      </c>
      <c r="I34" s="70">
        <f t="shared" si="8"/>
        <v>53458</v>
      </c>
      <c r="J34" s="66">
        <f t="shared" si="8"/>
        <v>8807</v>
      </c>
      <c r="K34" s="66">
        <f t="shared" si="8"/>
        <v>2747</v>
      </c>
      <c r="L34" s="66">
        <f t="shared" si="8"/>
        <v>11162</v>
      </c>
      <c r="M34" s="66">
        <f t="shared" si="8"/>
        <v>581</v>
      </c>
      <c r="N34" s="66">
        <f t="shared" si="8"/>
        <v>1025</v>
      </c>
      <c r="O34" s="66">
        <f t="shared" si="8"/>
        <v>0</v>
      </c>
      <c r="P34" s="66">
        <f t="shared" si="8"/>
        <v>0</v>
      </c>
      <c r="Q34" s="66">
        <f t="shared" si="8"/>
        <v>84</v>
      </c>
      <c r="R34" s="66">
        <f t="shared" si="8"/>
        <v>213</v>
      </c>
      <c r="S34" s="66">
        <f t="shared" si="8"/>
        <v>53</v>
      </c>
      <c r="T34" s="66">
        <f t="shared" si="8"/>
        <v>0</v>
      </c>
      <c r="U34" s="66">
        <f t="shared" si="8"/>
        <v>0</v>
      </c>
      <c r="V34" s="66">
        <f t="shared" si="9"/>
        <v>210</v>
      </c>
      <c r="W34" s="66">
        <f t="shared" si="9"/>
        <v>0</v>
      </c>
      <c r="X34" s="66">
        <f t="shared" si="9"/>
        <v>75</v>
      </c>
      <c r="Y34" s="66">
        <f t="shared" si="9"/>
        <v>0</v>
      </c>
      <c r="Z34" s="66">
        <f t="shared" si="9"/>
        <v>0</v>
      </c>
      <c r="AA34" s="66">
        <f t="shared" si="9"/>
        <v>0</v>
      </c>
      <c r="AB34" s="66">
        <f t="shared" si="9"/>
        <v>0</v>
      </c>
      <c r="AC34" s="66">
        <f t="shared" si="9"/>
        <v>0</v>
      </c>
      <c r="AD34" s="66">
        <f t="shared" si="9"/>
        <v>0</v>
      </c>
      <c r="AE34" s="66">
        <f t="shared" si="9"/>
        <v>0</v>
      </c>
      <c r="AF34" s="66">
        <f t="shared" si="9"/>
        <v>0</v>
      </c>
      <c r="AG34" s="66">
        <f t="shared" si="9"/>
        <v>0</v>
      </c>
      <c r="AH34" s="66">
        <f t="shared" si="9"/>
        <v>0</v>
      </c>
      <c r="AI34" s="66">
        <f t="shared" si="9"/>
        <v>0</v>
      </c>
      <c r="AJ34" s="66">
        <f t="shared" si="10"/>
        <v>0</v>
      </c>
      <c r="AK34" s="66">
        <f t="shared" si="10"/>
        <v>0</v>
      </c>
      <c r="AL34" s="66">
        <f t="shared" si="10"/>
        <v>0</v>
      </c>
      <c r="AM34" s="66">
        <f t="shared" si="10"/>
        <v>0</v>
      </c>
      <c r="AN34" s="66">
        <f t="shared" si="10"/>
        <v>0</v>
      </c>
      <c r="AO34" s="66">
        <f t="shared" si="10"/>
        <v>0</v>
      </c>
    </row>
    <row r="35" spans="1:41" ht="12.75">
      <c r="A35" s="32">
        <f t="shared" si="6"/>
        <v>36800</v>
      </c>
      <c r="B35" s="36">
        <f>IF($A35="","",IF(VLOOKUP($A35,TrendFacDump,2,FALSE)=0,0,VLOOKUP(EOMONTH(ValDat,-1)+1,TrendFacDump,2,FALSE)/VLOOKUP($A35,TrendFacDump,2,FALSE)))</f>
        <v>1.0447137484329294</v>
      </c>
      <c r="C35" s="50">
        <f t="shared" si="1"/>
        <v>2927.266</v>
      </c>
      <c r="D35" s="66">
        <f t="shared" si="7"/>
        <v>183309</v>
      </c>
      <c r="E35" s="67">
        <f>IF($A35="","",E34+F35+G34+H33+I32+J31+K30+L29+M28+N27+O26+P25+Q24+R23+S22+T21+U20+V19+W18+X17+Y16+Z15+AA14+AB13+AC12+AD11+AE10+AF9)</f>
        <v>4731427</v>
      </c>
      <c r="F35" s="70">
        <f t="shared" si="8"/>
        <v>2217</v>
      </c>
      <c r="G35" s="70">
        <f t="shared" si="8"/>
        <v>50074</v>
      </c>
      <c r="H35" s="70">
        <f t="shared" si="8"/>
        <v>38342</v>
      </c>
      <c r="I35" s="70">
        <f t="shared" si="8"/>
        <v>59896</v>
      </c>
      <c r="J35" s="66">
        <f t="shared" si="8"/>
        <v>12140</v>
      </c>
      <c r="K35" s="66">
        <f t="shared" si="8"/>
        <v>3146</v>
      </c>
      <c r="L35" s="66">
        <f t="shared" si="8"/>
        <v>1154</v>
      </c>
      <c r="M35" s="66">
        <f t="shared" si="8"/>
        <v>9723</v>
      </c>
      <c r="N35" s="66">
        <f t="shared" si="8"/>
        <v>403</v>
      </c>
      <c r="O35" s="66">
        <f t="shared" si="8"/>
        <v>0</v>
      </c>
      <c r="P35" s="66">
        <f t="shared" si="8"/>
        <v>1132</v>
      </c>
      <c r="Q35" s="66">
        <f t="shared" si="8"/>
        <v>177</v>
      </c>
      <c r="R35" s="66">
        <f t="shared" si="8"/>
        <v>160</v>
      </c>
      <c r="S35" s="66">
        <f t="shared" si="8"/>
        <v>3268</v>
      </c>
      <c r="T35" s="66">
        <f t="shared" si="8"/>
        <v>288</v>
      </c>
      <c r="U35" s="66">
        <f t="shared" si="8"/>
        <v>398</v>
      </c>
      <c r="V35" s="66">
        <f t="shared" si="9"/>
        <v>57</v>
      </c>
      <c r="W35" s="66">
        <f t="shared" si="9"/>
        <v>734</v>
      </c>
      <c r="X35" s="66">
        <f t="shared" si="9"/>
        <v>0</v>
      </c>
      <c r="Y35" s="66">
        <f t="shared" si="9"/>
        <v>0</v>
      </c>
      <c r="Z35" s="66">
        <f t="shared" si="9"/>
        <v>0</v>
      </c>
      <c r="AA35" s="66">
        <f t="shared" si="9"/>
        <v>0</v>
      </c>
      <c r="AB35" s="66">
        <f t="shared" si="9"/>
        <v>0</v>
      </c>
      <c r="AC35" s="66">
        <f t="shared" si="9"/>
        <v>0</v>
      </c>
      <c r="AD35" s="66">
        <f t="shared" si="9"/>
        <v>0</v>
      </c>
      <c r="AE35" s="66">
        <f t="shared" si="9"/>
        <v>0</v>
      </c>
      <c r="AF35" s="66">
        <f t="shared" si="9"/>
        <v>0</v>
      </c>
      <c r="AG35" s="66">
        <f t="shared" si="9"/>
        <v>0</v>
      </c>
      <c r="AH35" s="66">
        <f t="shared" si="9"/>
        <v>0</v>
      </c>
      <c r="AI35" s="66">
        <f t="shared" si="9"/>
        <v>0</v>
      </c>
      <c r="AJ35" s="66">
        <f t="shared" si="10"/>
        <v>0</v>
      </c>
      <c r="AK35" s="66">
        <f t="shared" si="10"/>
        <v>0</v>
      </c>
      <c r="AL35" s="66">
        <f t="shared" si="10"/>
        <v>0</v>
      </c>
      <c r="AM35" s="66">
        <f t="shared" si="10"/>
        <v>0</v>
      </c>
      <c r="AN35" s="66">
        <f t="shared" si="10"/>
        <v>0</v>
      </c>
      <c r="AO35" s="66">
        <f t="shared" si="10"/>
        <v>0</v>
      </c>
    </row>
    <row r="36" spans="1:41" ht="12.75">
      <c r="A36" s="32">
        <f t="shared" si="6"/>
        <v>36831</v>
      </c>
      <c r="B36" s="36">
        <f>IF($A36="","",IF(VLOOKUP($A36,TrendFacDump,2,FALSE)=0,0,VLOOKUP(EOMONTH(ValDat,-1)+1,TrendFacDump,2,FALSE)/VLOOKUP($A36,TrendFacDump,2,FALSE)))</f>
        <v>1.0396091069757771</v>
      </c>
      <c r="C36" s="50">
        <f t="shared" si="1"/>
        <v>2897.225</v>
      </c>
      <c r="D36" s="66">
        <f t="shared" si="7"/>
        <v>183309</v>
      </c>
      <c r="E36" s="67">
        <f>IF($A36="","",E35+F36+G35+H34+I33+J32+K31+L30+M29+N28+O27+P26+Q25+R24+S23+T22+U21+V20+W19+X18+Y17+Z16+AA15+AB14+AC13+AD12+AE11+AF10+AG9)</f>
        <v>4933772</v>
      </c>
      <c r="F36" s="70">
        <f t="shared" si="8"/>
        <v>19627</v>
      </c>
      <c r="G36" s="70">
        <f t="shared" si="8"/>
        <v>78051</v>
      </c>
      <c r="H36" s="70">
        <f t="shared" si="8"/>
        <v>32446</v>
      </c>
      <c r="I36" s="70">
        <f t="shared" si="8"/>
        <v>30039</v>
      </c>
      <c r="J36" s="66">
        <f t="shared" si="8"/>
        <v>3104</v>
      </c>
      <c r="K36" s="66">
        <f t="shared" si="8"/>
        <v>8621</v>
      </c>
      <c r="L36" s="66">
        <f t="shared" si="8"/>
        <v>1405</v>
      </c>
      <c r="M36" s="66">
        <f t="shared" si="8"/>
        <v>3535</v>
      </c>
      <c r="N36" s="66">
        <f t="shared" si="8"/>
        <v>707</v>
      </c>
      <c r="O36" s="66">
        <f t="shared" si="8"/>
        <v>57</v>
      </c>
      <c r="P36" s="66">
        <f t="shared" si="8"/>
        <v>692</v>
      </c>
      <c r="Q36" s="66">
        <f t="shared" si="8"/>
        <v>229</v>
      </c>
      <c r="R36" s="66">
        <f t="shared" si="8"/>
        <v>3279</v>
      </c>
      <c r="S36" s="66">
        <f t="shared" si="8"/>
        <v>40</v>
      </c>
      <c r="T36" s="66">
        <f t="shared" si="8"/>
        <v>328</v>
      </c>
      <c r="U36" s="66">
        <f t="shared" si="8"/>
        <v>415</v>
      </c>
      <c r="V36" s="66">
        <f t="shared" si="9"/>
        <v>0</v>
      </c>
      <c r="W36" s="66">
        <f t="shared" si="9"/>
        <v>734</v>
      </c>
      <c r="X36" s="66">
        <f t="shared" si="9"/>
        <v>0</v>
      </c>
      <c r="Y36" s="66">
        <f t="shared" si="9"/>
        <v>0</v>
      </c>
      <c r="Z36" s="66">
        <f t="shared" si="9"/>
        <v>0</v>
      </c>
      <c r="AA36" s="66">
        <f t="shared" si="9"/>
        <v>0</v>
      </c>
      <c r="AB36" s="66">
        <f t="shared" si="9"/>
        <v>0</v>
      </c>
      <c r="AC36" s="66">
        <f t="shared" si="9"/>
        <v>0</v>
      </c>
      <c r="AD36" s="66">
        <f t="shared" si="9"/>
        <v>0</v>
      </c>
      <c r="AE36" s="66">
        <f t="shared" si="9"/>
        <v>0</v>
      </c>
      <c r="AF36" s="66">
        <f t="shared" si="9"/>
        <v>0</v>
      </c>
      <c r="AG36" s="66">
        <f t="shared" si="9"/>
        <v>0</v>
      </c>
      <c r="AH36" s="66">
        <f t="shared" si="9"/>
        <v>0</v>
      </c>
      <c r="AI36" s="66">
        <f t="shared" si="9"/>
        <v>0</v>
      </c>
      <c r="AJ36" s="66">
        <f t="shared" si="10"/>
        <v>0</v>
      </c>
      <c r="AK36" s="66">
        <f t="shared" si="10"/>
        <v>0</v>
      </c>
      <c r="AL36" s="66">
        <f t="shared" si="10"/>
        <v>0</v>
      </c>
      <c r="AM36" s="66">
        <f t="shared" si="10"/>
        <v>0</v>
      </c>
      <c r="AN36" s="66">
        <f t="shared" si="10"/>
        <v>0</v>
      </c>
      <c r="AO36" s="66">
        <f t="shared" si="10"/>
        <v>0</v>
      </c>
    </row>
    <row r="37" spans="1:41" ht="12.75">
      <c r="A37" s="32">
        <f t="shared" si="6"/>
        <v>36861</v>
      </c>
      <c r="B37" s="36">
        <f>IF($A37="","",IF(VLOOKUP($A37,TrendFacDump,2,FALSE)=0,0,VLOOKUP(EOMONTH(ValDat,-1)+1,TrendFacDump,2,FALSE)/VLOOKUP($A37,TrendFacDump,2,FALSE)))</f>
        <v>1.0345541071798054</v>
      </c>
      <c r="C37" s="50">
        <f t="shared" si="1"/>
        <v>2887.18</v>
      </c>
      <c r="D37" s="66">
        <f t="shared" si="7"/>
        <v>83695</v>
      </c>
      <c r="E37" s="67">
        <f>IF($A37="","",E36+F37+G36+H35+I34+J33+K32+L31+M30+N29+O28+P27+Q26+R25+S24+T23+U22+V21+W20+X19+Y18+Z17+AA16+AB15+AC14+AD13+AE12+AF11+AG10+AH9)</f>
        <v>5150255</v>
      </c>
      <c r="F37" s="70">
        <f t="shared" si="8"/>
        <v>5402</v>
      </c>
      <c r="G37" s="70">
        <f t="shared" si="8"/>
        <v>16943</v>
      </c>
      <c r="H37" s="70">
        <f t="shared" si="8"/>
        <v>34607</v>
      </c>
      <c r="I37" s="70">
        <f t="shared" si="8"/>
        <v>6988</v>
      </c>
      <c r="J37" s="66">
        <f t="shared" si="8"/>
        <v>3602</v>
      </c>
      <c r="K37" s="66">
        <f t="shared" si="8"/>
        <v>2116</v>
      </c>
      <c r="L37" s="66">
        <f t="shared" si="8"/>
        <v>7375</v>
      </c>
      <c r="M37" s="66">
        <f t="shared" si="8"/>
        <v>474</v>
      </c>
      <c r="N37" s="66">
        <f t="shared" si="8"/>
        <v>3162</v>
      </c>
      <c r="O37" s="66">
        <f t="shared" si="8"/>
        <v>1388</v>
      </c>
      <c r="P37" s="66">
        <f t="shared" si="8"/>
        <v>160</v>
      </c>
      <c r="Q37" s="66">
        <f t="shared" si="8"/>
        <v>284</v>
      </c>
      <c r="R37" s="66">
        <f t="shared" si="8"/>
        <v>406</v>
      </c>
      <c r="S37" s="66">
        <f t="shared" si="8"/>
        <v>788</v>
      </c>
      <c r="T37" s="66">
        <f t="shared" si="8"/>
        <v>0</v>
      </c>
      <c r="U37" s="66">
        <f t="shared" si="8"/>
        <v>0</v>
      </c>
      <c r="V37" s="66">
        <f t="shared" si="9"/>
        <v>0</v>
      </c>
      <c r="W37" s="66">
        <f t="shared" si="9"/>
        <v>0</v>
      </c>
      <c r="X37" s="66">
        <f t="shared" si="9"/>
        <v>0</v>
      </c>
      <c r="Y37" s="66">
        <f t="shared" si="9"/>
        <v>0</v>
      </c>
      <c r="Z37" s="66">
        <f t="shared" si="9"/>
        <v>0</v>
      </c>
      <c r="AA37" s="66">
        <f t="shared" si="9"/>
        <v>0</v>
      </c>
      <c r="AB37" s="66">
        <f t="shared" si="9"/>
        <v>0</v>
      </c>
      <c r="AC37" s="66">
        <f t="shared" si="9"/>
        <v>0</v>
      </c>
      <c r="AD37" s="66">
        <f t="shared" si="9"/>
        <v>0</v>
      </c>
      <c r="AE37" s="66">
        <f t="shared" si="9"/>
        <v>0</v>
      </c>
      <c r="AF37" s="66">
        <f t="shared" si="9"/>
        <v>0</v>
      </c>
      <c r="AG37" s="66">
        <f t="shared" si="9"/>
        <v>0</v>
      </c>
      <c r="AH37" s="66">
        <f t="shared" si="9"/>
        <v>0</v>
      </c>
      <c r="AI37" s="66">
        <f t="shared" si="9"/>
        <v>0</v>
      </c>
      <c r="AJ37" s="66">
        <f t="shared" si="10"/>
        <v>0</v>
      </c>
      <c r="AK37" s="66">
        <f t="shared" si="10"/>
        <v>0</v>
      </c>
      <c r="AL37" s="66">
        <f t="shared" si="10"/>
        <v>0</v>
      </c>
      <c r="AM37" s="66">
        <f t="shared" si="10"/>
        <v>0</v>
      </c>
      <c r="AN37" s="66">
        <f t="shared" si="10"/>
        <v>0</v>
      </c>
      <c r="AO37" s="66">
        <f t="shared" si="10"/>
        <v>0</v>
      </c>
    </row>
    <row r="38" spans="1:41" ht="12.75">
      <c r="A38" s="32">
        <f t="shared" si="6"/>
        <v>36892</v>
      </c>
      <c r="B38" s="36">
        <f>IF($A38="","",IF(VLOOKUP($A38,TrendFacDump,2,FALSE)=0,0,VLOOKUP(EOMONTH(ValDat,-1)+1,TrendFacDump,2,FALSE)/VLOOKUP($A38,TrendFacDump,2,FALSE)))</f>
        <v>1.0295480284155256</v>
      </c>
      <c r="C38" s="50">
        <f t="shared" si="1"/>
        <v>2887.803</v>
      </c>
      <c r="D38" s="66">
        <f t="shared" si="7"/>
        <v>83695</v>
      </c>
      <c r="E38" s="67">
        <f>IF($A38="","",E37+F38+G37+H36+I35+J34+K33+L32+M31+N30+O29+P28+Q27+R26+S25+T24+U23+V22+W21+X20+Y19+Z18+AA17+AB16+AC15+AD14+AE13+AF12+AG11+AH10+AI9)</f>
        <v>5317053</v>
      </c>
      <c r="F38" s="70">
        <f t="shared" si="8"/>
        <v>15456</v>
      </c>
      <c r="G38" s="70">
        <f t="shared" si="8"/>
        <v>19047</v>
      </c>
      <c r="H38" s="70">
        <f t="shared" si="8"/>
        <v>26813</v>
      </c>
      <c r="I38" s="70">
        <f t="shared" si="8"/>
        <v>7995</v>
      </c>
      <c r="J38" s="66">
        <f t="shared" si="8"/>
        <v>520</v>
      </c>
      <c r="K38" s="66">
        <f t="shared" si="8"/>
        <v>1792</v>
      </c>
      <c r="L38" s="66">
        <f t="shared" si="8"/>
        <v>5685</v>
      </c>
      <c r="M38" s="66">
        <f t="shared" si="8"/>
        <v>405</v>
      </c>
      <c r="N38" s="66">
        <f t="shared" si="8"/>
        <v>4138</v>
      </c>
      <c r="O38" s="66">
        <f t="shared" si="8"/>
        <v>206</v>
      </c>
      <c r="P38" s="66">
        <f t="shared" si="8"/>
        <v>360</v>
      </c>
      <c r="Q38" s="66">
        <f t="shared" si="8"/>
        <v>188</v>
      </c>
      <c r="R38" s="66">
        <f t="shared" si="8"/>
        <v>302</v>
      </c>
      <c r="S38" s="66">
        <f t="shared" si="8"/>
        <v>788</v>
      </c>
      <c r="T38" s="66">
        <f t="shared" si="8"/>
        <v>0</v>
      </c>
      <c r="U38" s="66">
        <f t="shared" si="8"/>
        <v>0</v>
      </c>
      <c r="V38" s="66">
        <f t="shared" si="9"/>
        <v>0</v>
      </c>
      <c r="W38" s="66">
        <f t="shared" si="9"/>
        <v>0</v>
      </c>
      <c r="X38" s="66">
        <f t="shared" si="9"/>
        <v>0</v>
      </c>
      <c r="Y38" s="66">
        <f t="shared" si="9"/>
        <v>0</v>
      </c>
      <c r="Z38" s="66">
        <f t="shared" si="9"/>
        <v>0</v>
      </c>
      <c r="AA38" s="66">
        <f t="shared" si="9"/>
        <v>0</v>
      </c>
      <c r="AB38" s="66">
        <f t="shared" si="9"/>
        <v>0</v>
      </c>
      <c r="AC38" s="66">
        <f t="shared" si="9"/>
        <v>0</v>
      </c>
      <c r="AD38" s="66">
        <f t="shared" si="9"/>
        <v>0</v>
      </c>
      <c r="AE38" s="66">
        <f t="shared" si="9"/>
        <v>0</v>
      </c>
      <c r="AF38" s="66">
        <f t="shared" si="9"/>
        <v>0</v>
      </c>
      <c r="AG38" s="66">
        <f t="shared" si="9"/>
        <v>0</v>
      </c>
      <c r="AH38" s="66">
        <f t="shared" si="9"/>
        <v>0</v>
      </c>
      <c r="AI38" s="66">
        <f t="shared" si="9"/>
        <v>0</v>
      </c>
      <c r="AJ38" s="66">
        <f t="shared" si="10"/>
        <v>0</v>
      </c>
      <c r="AK38" s="66">
        <f t="shared" si="10"/>
        <v>0</v>
      </c>
      <c r="AL38" s="66">
        <f t="shared" si="10"/>
        <v>0</v>
      </c>
      <c r="AM38" s="66">
        <f t="shared" si="10"/>
        <v>0</v>
      </c>
      <c r="AN38" s="66">
        <f t="shared" si="10"/>
        <v>0</v>
      </c>
      <c r="AO38" s="66">
        <f t="shared" si="10"/>
        <v>0</v>
      </c>
    </row>
    <row r="39" spans="1:41" ht="12.75">
      <c r="A39" s="32">
        <f t="shared" si="6"/>
        <v>36923</v>
      </c>
      <c r="B39" s="36">
        <f>IF($A39="","",IF(VLOOKUP($A39,TrendFacDump,2,FALSE)=0,0,VLOOKUP(EOMONTH(ValDat,-1)+1,TrendFacDump,2,FALSE)/VLOOKUP($A39,TrendFacDump,2,FALSE)))</f>
        <v>1.0245901639344261</v>
      </c>
      <c r="C39" s="50">
        <f t="shared" si="1"/>
        <v>2887.028</v>
      </c>
      <c r="D39" s="66">
        <f t="shared" si="7"/>
        <v>140421</v>
      </c>
      <c r="E39" s="67">
        <f>IF($A39="","",E38+F39+G38+H37+I36+J35+K34+L33+M32+N31+O30+P29+Q28+R27+S26+T25+U24+V23+W22+X21+Y20+Z19+AA18+AB17+AC16+AD15+AE14+AF13+AG12+AH11+AI10+AJ9)</f>
        <v>5453774</v>
      </c>
      <c r="F39" s="70">
        <f t="shared" si="8"/>
        <v>544</v>
      </c>
      <c r="G39" s="70">
        <f t="shared" si="8"/>
        <v>16998</v>
      </c>
      <c r="H39" s="70">
        <f t="shared" si="8"/>
        <v>37793</v>
      </c>
      <c r="I39" s="70">
        <f t="shared" si="8"/>
        <v>49731</v>
      </c>
      <c r="J39" s="66">
        <f t="shared" si="8"/>
        <v>28448</v>
      </c>
      <c r="K39" s="66">
        <f t="shared" si="8"/>
        <v>2175</v>
      </c>
      <c r="L39" s="66">
        <f t="shared" si="8"/>
        <v>1814</v>
      </c>
      <c r="M39" s="66">
        <f t="shared" si="8"/>
        <v>333</v>
      </c>
      <c r="N39" s="66">
        <f t="shared" si="8"/>
        <v>718</v>
      </c>
      <c r="O39" s="66">
        <f t="shared" si="8"/>
        <v>1341</v>
      </c>
      <c r="P39" s="66">
        <f t="shared" si="8"/>
        <v>64</v>
      </c>
      <c r="Q39" s="66">
        <f t="shared" si="8"/>
        <v>28</v>
      </c>
      <c r="R39" s="66">
        <f t="shared" si="8"/>
        <v>0</v>
      </c>
      <c r="S39" s="66">
        <f t="shared" si="8"/>
        <v>0</v>
      </c>
      <c r="T39" s="66">
        <f t="shared" si="8"/>
        <v>256</v>
      </c>
      <c r="U39" s="66">
        <f t="shared" si="8"/>
        <v>108</v>
      </c>
      <c r="V39" s="66">
        <f t="shared" si="9"/>
        <v>70</v>
      </c>
      <c r="W39" s="66">
        <f t="shared" si="9"/>
        <v>0</v>
      </c>
      <c r="X39" s="66">
        <f t="shared" si="9"/>
        <v>0</v>
      </c>
      <c r="Y39" s="66">
        <f t="shared" si="9"/>
        <v>0</v>
      </c>
      <c r="Z39" s="66">
        <f t="shared" si="9"/>
        <v>0</v>
      </c>
      <c r="AA39" s="66">
        <f t="shared" si="9"/>
        <v>0</v>
      </c>
      <c r="AB39" s="66">
        <f t="shared" si="9"/>
        <v>0</v>
      </c>
      <c r="AC39" s="66">
        <f t="shared" si="9"/>
        <v>0</v>
      </c>
      <c r="AD39" s="66">
        <f t="shared" si="9"/>
        <v>0</v>
      </c>
      <c r="AE39" s="66">
        <f t="shared" si="9"/>
        <v>0</v>
      </c>
      <c r="AF39" s="66">
        <f t="shared" si="9"/>
        <v>0</v>
      </c>
      <c r="AG39" s="66">
        <f t="shared" si="9"/>
        <v>0</v>
      </c>
      <c r="AH39" s="66">
        <f t="shared" si="9"/>
        <v>0</v>
      </c>
      <c r="AI39" s="66">
        <f t="shared" si="9"/>
        <v>0</v>
      </c>
      <c r="AJ39" s="66">
        <f t="shared" si="10"/>
        <v>0</v>
      </c>
      <c r="AK39" s="66">
        <f t="shared" si="10"/>
        <v>0</v>
      </c>
      <c r="AL39" s="66">
        <f t="shared" si="10"/>
        <v>0</v>
      </c>
      <c r="AM39" s="66">
        <f t="shared" si="10"/>
        <v>0</v>
      </c>
      <c r="AN39" s="66">
        <f t="shared" si="10"/>
        <v>0</v>
      </c>
      <c r="AO39" s="66">
        <f t="shared" si="10"/>
        <v>0</v>
      </c>
    </row>
    <row r="40" spans="1:41" ht="12.75">
      <c r="A40" s="32">
        <f t="shared" si="6"/>
        <v>36951</v>
      </c>
      <c r="B40" s="36">
        <f>IF($A40="","",IF(VLOOKUP($A40,TrendFacDump,2,FALSE)=0,0,VLOOKUP(EOMONTH(ValDat,-1)+1,TrendFacDump,2,FALSE)/VLOOKUP($A40,TrendFacDump,2,FALSE)))</f>
        <v>1.0195758564437194</v>
      </c>
      <c r="C40" s="50">
        <f t="shared" si="1"/>
        <v>2848.341</v>
      </c>
      <c r="D40" s="66">
        <f t="shared" si="7"/>
        <v>140421</v>
      </c>
      <c r="E40" s="67">
        <f>IF($A40="","",E39+F40+G39+H38+I37+J36+K35+L34+M33+N32+O31+P30+Q29+R28+S27+T26+U25+V24+W23+X22+Y21+Z20+AA19+AB18+AC17+AD16+AE15+AF14+AG13+AH12+AI11+AJ10+AK9)</f>
        <v>5532193</v>
      </c>
      <c r="F40" s="70">
        <f t="shared" si="8"/>
        <v>8442</v>
      </c>
      <c r="G40" s="70">
        <f t="shared" si="8"/>
        <v>51447</v>
      </c>
      <c r="H40" s="70">
        <f t="shared" si="8"/>
        <v>16192</v>
      </c>
      <c r="I40" s="70">
        <f t="shared" si="8"/>
        <v>58463</v>
      </c>
      <c r="J40" s="66">
        <f t="shared" si="8"/>
        <v>1725</v>
      </c>
      <c r="K40" s="66">
        <f t="shared" si="8"/>
        <v>1611</v>
      </c>
      <c r="L40" s="66">
        <f t="shared" si="8"/>
        <v>455</v>
      </c>
      <c r="M40" s="66">
        <f t="shared" si="8"/>
        <v>881</v>
      </c>
      <c r="N40" s="66">
        <f t="shared" si="8"/>
        <v>679</v>
      </c>
      <c r="O40" s="66">
        <f t="shared" si="8"/>
        <v>64</v>
      </c>
      <c r="P40" s="66">
        <f t="shared" si="8"/>
        <v>28</v>
      </c>
      <c r="Q40" s="66">
        <f t="shared" si="8"/>
        <v>0</v>
      </c>
      <c r="R40" s="66">
        <f t="shared" si="8"/>
        <v>0</v>
      </c>
      <c r="S40" s="66">
        <f t="shared" si="8"/>
        <v>0</v>
      </c>
      <c r="T40" s="66">
        <f t="shared" si="8"/>
        <v>256</v>
      </c>
      <c r="U40" s="66">
        <f aca="true" t="shared" si="11" ref="P40:Y44">IF($A40="","",VLOOKUP($A40,ReportedDump,U$8+2,FALSE))</f>
        <v>108</v>
      </c>
      <c r="V40" s="66">
        <f t="shared" si="11"/>
        <v>70</v>
      </c>
      <c r="W40" s="66">
        <f t="shared" si="11"/>
        <v>0</v>
      </c>
      <c r="X40" s="66">
        <f t="shared" si="11"/>
        <v>0</v>
      </c>
      <c r="Y40" s="66">
        <f t="shared" si="11"/>
        <v>0</v>
      </c>
      <c r="Z40" s="66">
        <f t="shared" si="9"/>
        <v>0</v>
      </c>
      <c r="AA40" s="66">
        <f t="shared" si="9"/>
        <v>0</v>
      </c>
      <c r="AB40" s="66">
        <f t="shared" si="9"/>
        <v>0</v>
      </c>
      <c r="AC40" s="66">
        <f t="shared" si="9"/>
        <v>0</v>
      </c>
      <c r="AD40" s="66">
        <f t="shared" si="9"/>
        <v>0</v>
      </c>
      <c r="AE40" s="66">
        <f t="shared" si="9"/>
        <v>0</v>
      </c>
      <c r="AF40" s="66">
        <f t="shared" si="9"/>
        <v>0</v>
      </c>
      <c r="AG40" s="66">
        <f t="shared" si="9"/>
        <v>0</v>
      </c>
      <c r="AH40" s="66">
        <f t="shared" si="9"/>
        <v>0</v>
      </c>
      <c r="AI40" s="66">
        <f t="shared" si="9"/>
        <v>0</v>
      </c>
      <c r="AJ40" s="66">
        <f t="shared" si="10"/>
        <v>0</v>
      </c>
      <c r="AK40" s="66">
        <f t="shared" si="10"/>
        <v>0</v>
      </c>
      <c r="AL40" s="66">
        <f t="shared" si="10"/>
        <v>0</v>
      </c>
      <c r="AM40" s="66">
        <f t="shared" si="10"/>
        <v>0</v>
      </c>
      <c r="AN40" s="66">
        <f t="shared" si="10"/>
        <v>0</v>
      </c>
      <c r="AO40" s="66">
        <f t="shared" si="10"/>
        <v>0</v>
      </c>
    </row>
    <row r="41" spans="1:41" ht="12.75">
      <c r="A41" s="32">
        <f t="shared" si="6"/>
        <v>36982</v>
      </c>
      <c r="B41" s="36">
        <f>IF($A41="","",IF(VLOOKUP($A41,TrendFacDump,2,FALSE)=0,0,VLOOKUP(EOMONTH(ValDat,-1)+1,TrendFacDump,2,FALSE)/VLOOKUP($A41,TrendFacDump,2,FALSE)))</f>
        <v>1.0147133434804667</v>
      </c>
      <c r="C41" s="50">
        <f t="shared" si="1"/>
        <v>2809.872</v>
      </c>
      <c r="D41" s="66">
        <f t="shared" si="7"/>
        <v>122179</v>
      </c>
      <c r="E41" s="67">
        <f>IF($A41="","",E40+F41+G40+H39+I38+J37+K36+L35+M34+N33+O32+P31+Q30+R29+S28+T27+U26+V25+W24+X23+Y22+Z21+AA20+AB19+AC18+AD17+AE16+AF15+AG14+AH13+AI12+AJ11+AK10+AL9)</f>
        <v>5646463</v>
      </c>
      <c r="F41" s="70">
        <f aca="true" t="shared" si="12" ref="F41:O44">IF($A41="","",VLOOKUP($A41,ReportedDump,F$8+2,FALSE))</f>
        <v>1180</v>
      </c>
      <c r="G41" s="70">
        <f t="shared" si="12"/>
        <v>33425</v>
      </c>
      <c r="H41" s="70">
        <f t="shared" si="12"/>
        <v>35398</v>
      </c>
      <c r="I41" s="70">
        <f t="shared" si="12"/>
        <v>24109</v>
      </c>
      <c r="J41" s="66">
        <f t="shared" si="12"/>
        <v>7879</v>
      </c>
      <c r="K41" s="66">
        <f t="shared" si="12"/>
        <v>9007</v>
      </c>
      <c r="L41" s="66">
        <f t="shared" si="12"/>
        <v>1278</v>
      </c>
      <c r="M41" s="66">
        <f t="shared" si="12"/>
        <v>1250</v>
      </c>
      <c r="N41" s="66">
        <f t="shared" si="12"/>
        <v>572</v>
      </c>
      <c r="O41" s="66">
        <f t="shared" si="12"/>
        <v>253</v>
      </c>
      <c r="P41" s="66">
        <f t="shared" si="11"/>
        <v>0</v>
      </c>
      <c r="Q41" s="66">
        <f t="shared" si="11"/>
        <v>0</v>
      </c>
      <c r="R41" s="66">
        <f t="shared" si="11"/>
        <v>-247</v>
      </c>
      <c r="S41" s="66">
        <f t="shared" si="11"/>
        <v>266</v>
      </c>
      <c r="T41" s="66">
        <f t="shared" si="11"/>
        <v>7809</v>
      </c>
      <c r="U41" s="66">
        <f t="shared" si="11"/>
        <v>0</v>
      </c>
      <c r="V41" s="66">
        <f t="shared" si="11"/>
        <v>0</v>
      </c>
      <c r="W41" s="66">
        <f t="shared" si="11"/>
        <v>0</v>
      </c>
      <c r="X41" s="66">
        <f t="shared" si="11"/>
        <v>0</v>
      </c>
      <c r="Y41" s="66">
        <f t="shared" si="11"/>
        <v>0</v>
      </c>
      <c r="Z41" s="66">
        <f t="shared" si="9"/>
        <v>0</v>
      </c>
      <c r="AA41" s="66">
        <f t="shared" si="9"/>
        <v>0</v>
      </c>
      <c r="AB41" s="66">
        <f t="shared" si="9"/>
        <v>0</v>
      </c>
      <c r="AC41" s="66">
        <f t="shared" si="9"/>
        <v>0</v>
      </c>
      <c r="AD41" s="66">
        <f t="shared" si="9"/>
        <v>0</v>
      </c>
      <c r="AE41" s="66">
        <f t="shared" si="9"/>
        <v>0</v>
      </c>
      <c r="AF41" s="66">
        <f t="shared" si="9"/>
        <v>0</v>
      </c>
      <c r="AG41" s="66">
        <f t="shared" si="9"/>
        <v>0</v>
      </c>
      <c r="AH41" s="66">
        <f t="shared" si="9"/>
        <v>0</v>
      </c>
      <c r="AI41" s="66">
        <f t="shared" si="9"/>
        <v>0</v>
      </c>
      <c r="AJ41" s="66">
        <f t="shared" si="10"/>
        <v>0</v>
      </c>
      <c r="AK41" s="66">
        <f t="shared" si="10"/>
        <v>0</v>
      </c>
      <c r="AL41" s="66">
        <f t="shared" si="10"/>
        <v>0</v>
      </c>
      <c r="AM41" s="66">
        <f t="shared" si="10"/>
        <v>0</v>
      </c>
      <c r="AN41" s="66">
        <f t="shared" si="10"/>
        <v>0</v>
      </c>
      <c r="AO41" s="66">
        <f t="shared" si="10"/>
        <v>0</v>
      </c>
    </row>
    <row r="42" spans="1:41" ht="12.75">
      <c r="A42" s="32">
        <f t="shared" si="6"/>
        <v>37012</v>
      </c>
      <c r="B42" s="36">
        <f>IF($A42="","",IF(VLOOKUP($A42,TrendFacDump,2,FALSE)=0,0,VLOOKUP(EOMONTH(ValDat,-1)+1,TrendFacDump,2,FALSE)/VLOOKUP($A42,TrendFacDump,2,FALSE)))</f>
        <v>1.0097950116126426</v>
      </c>
      <c r="C42" s="50">
        <f t="shared" si="1"/>
        <v>2815.611</v>
      </c>
      <c r="D42" s="66">
        <f t="shared" si="7"/>
        <v>122179</v>
      </c>
      <c r="E42" s="67">
        <f>IF($A42="","",E41+F42+G41+H40+I39+J38+K37+L36+M35+N34+O33+P32+Q31+R30+S29+T28+U27+V26+W25+X24+Y23+Z22+AA21+AB20+AC19+AD18+AE17+AF16+AG15+AH14+AI13+AJ12+AK11+AL10+AM9)</f>
        <v>5787714</v>
      </c>
      <c r="F42" s="70">
        <f t="shared" si="12"/>
        <v>24336</v>
      </c>
      <c r="G42" s="70">
        <f t="shared" si="12"/>
        <v>38853</v>
      </c>
      <c r="H42" s="70">
        <f t="shared" si="12"/>
        <v>23133</v>
      </c>
      <c r="I42" s="70">
        <f t="shared" si="12"/>
        <v>13306</v>
      </c>
      <c r="J42" s="66">
        <f t="shared" si="12"/>
        <v>5789</v>
      </c>
      <c r="K42" s="66">
        <f t="shared" si="12"/>
        <v>5946</v>
      </c>
      <c r="L42" s="66">
        <f t="shared" si="12"/>
        <v>1041</v>
      </c>
      <c r="M42" s="66">
        <f t="shared" si="12"/>
        <v>1381</v>
      </c>
      <c r="N42" s="66">
        <f t="shared" si="12"/>
        <v>313</v>
      </c>
      <c r="O42" s="66">
        <f t="shared" si="12"/>
        <v>253</v>
      </c>
      <c r="P42" s="66">
        <f t="shared" si="11"/>
        <v>0</v>
      </c>
      <c r="Q42" s="66">
        <f t="shared" si="11"/>
        <v>0</v>
      </c>
      <c r="R42" s="66">
        <f t="shared" si="11"/>
        <v>-247</v>
      </c>
      <c r="S42" s="66">
        <f t="shared" si="11"/>
        <v>266</v>
      </c>
      <c r="T42" s="66">
        <f t="shared" si="11"/>
        <v>7809</v>
      </c>
      <c r="U42" s="66">
        <f t="shared" si="11"/>
        <v>0</v>
      </c>
      <c r="V42" s="66">
        <f t="shared" si="11"/>
        <v>0</v>
      </c>
      <c r="W42" s="66">
        <f t="shared" si="11"/>
        <v>0</v>
      </c>
      <c r="X42" s="66">
        <f t="shared" si="11"/>
        <v>0</v>
      </c>
      <c r="Y42" s="66">
        <f t="shared" si="11"/>
        <v>0</v>
      </c>
      <c r="Z42" s="66">
        <f t="shared" si="9"/>
        <v>0</v>
      </c>
      <c r="AA42" s="66">
        <f t="shared" si="9"/>
        <v>0</v>
      </c>
      <c r="AB42" s="66">
        <f t="shared" si="9"/>
        <v>0</v>
      </c>
      <c r="AC42" s="66">
        <f t="shared" si="9"/>
        <v>0</v>
      </c>
      <c r="AD42" s="66">
        <f t="shared" si="9"/>
        <v>0</v>
      </c>
      <c r="AE42" s="66">
        <f t="shared" si="9"/>
        <v>0</v>
      </c>
      <c r="AF42" s="66">
        <f t="shared" si="9"/>
        <v>0</v>
      </c>
      <c r="AG42" s="66">
        <f t="shared" si="9"/>
        <v>0</v>
      </c>
      <c r="AH42" s="66">
        <f t="shared" si="9"/>
        <v>0</v>
      </c>
      <c r="AI42" s="66">
        <f t="shared" si="9"/>
        <v>0</v>
      </c>
      <c r="AJ42" s="66">
        <f t="shared" si="10"/>
        <v>0</v>
      </c>
      <c r="AK42" s="66">
        <f t="shared" si="10"/>
        <v>0</v>
      </c>
      <c r="AL42" s="66">
        <f t="shared" si="10"/>
        <v>0</v>
      </c>
      <c r="AM42" s="66">
        <f t="shared" si="10"/>
        <v>0</v>
      </c>
      <c r="AN42" s="66">
        <f t="shared" si="10"/>
        <v>0</v>
      </c>
      <c r="AO42" s="66">
        <f t="shared" si="10"/>
        <v>0</v>
      </c>
    </row>
    <row r="43" spans="1:41" ht="12.75">
      <c r="A43" s="32">
        <f t="shared" si="6"/>
        <v>37043</v>
      </c>
      <c r="B43" s="36">
        <f>IF($A43="","",IF(VLOOKUP($A43,TrendFacDump,2,FALSE)=0,0,VLOOKUP(EOMONTH(ValDat,-1)+1,TrendFacDump,2,FALSE)/VLOOKUP($A43,TrendFacDump,2,FALSE)))</f>
        <v>1.004823151125402</v>
      </c>
      <c r="C43" s="50">
        <f t="shared" si="1"/>
        <v>2810.516</v>
      </c>
      <c r="D43" s="66">
        <f t="shared" si="7"/>
        <v>0</v>
      </c>
      <c r="E43" s="67">
        <f>IF($A43="","",E42+F43+G42+H41+I40+J39+K38+L37+M36+N35+O34+P33+Q32+R31+S30+T29+U28+V27+W26+X25+Y24+Z23+AA22+AB21+AC20+AD19+AE18+AF17+AG16+AH15+AI14+AJ13+AK12+AL11+AM10+AN9)</f>
        <v>5962791</v>
      </c>
      <c r="F43" s="70">
        <f t="shared" si="12"/>
        <v>0</v>
      </c>
      <c r="G43" s="70">
        <f t="shared" si="12"/>
        <v>0</v>
      </c>
      <c r="H43" s="70">
        <f t="shared" si="12"/>
        <v>0</v>
      </c>
      <c r="I43" s="70">
        <f t="shared" si="12"/>
        <v>0</v>
      </c>
      <c r="J43" s="66">
        <f t="shared" si="12"/>
        <v>0</v>
      </c>
      <c r="K43" s="66">
        <f t="shared" si="12"/>
        <v>0</v>
      </c>
      <c r="L43" s="66">
        <f t="shared" si="12"/>
        <v>0</v>
      </c>
      <c r="M43" s="66">
        <f t="shared" si="12"/>
        <v>0</v>
      </c>
      <c r="N43" s="66">
        <f t="shared" si="12"/>
        <v>0</v>
      </c>
      <c r="O43" s="66">
        <f t="shared" si="12"/>
        <v>0</v>
      </c>
      <c r="P43" s="66">
        <f t="shared" si="11"/>
        <v>0</v>
      </c>
      <c r="Q43" s="66">
        <f t="shared" si="11"/>
        <v>0</v>
      </c>
      <c r="R43" s="66">
        <f t="shared" si="11"/>
        <v>0</v>
      </c>
      <c r="S43" s="66">
        <f t="shared" si="11"/>
        <v>0</v>
      </c>
      <c r="T43" s="66">
        <f t="shared" si="11"/>
        <v>0</v>
      </c>
      <c r="U43" s="66">
        <f t="shared" si="11"/>
        <v>0</v>
      </c>
      <c r="V43" s="66">
        <f t="shared" si="11"/>
        <v>0</v>
      </c>
      <c r="W43" s="66">
        <f t="shared" si="11"/>
        <v>0</v>
      </c>
      <c r="X43" s="66">
        <f t="shared" si="11"/>
        <v>0</v>
      </c>
      <c r="Y43" s="66">
        <f t="shared" si="11"/>
        <v>0</v>
      </c>
      <c r="Z43" s="66">
        <f t="shared" si="9"/>
        <v>0</v>
      </c>
      <c r="AA43" s="66">
        <f t="shared" si="9"/>
        <v>0</v>
      </c>
      <c r="AB43" s="66">
        <f t="shared" si="9"/>
        <v>0</v>
      </c>
      <c r="AC43" s="66">
        <f t="shared" si="9"/>
        <v>0</v>
      </c>
      <c r="AD43" s="66">
        <f t="shared" si="9"/>
        <v>0</v>
      </c>
      <c r="AE43" s="66">
        <f t="shared" si="9"/>
        <v>0</v>
      </c>
      <c r="AF43" s="66">
        <f t="shared" si="9"/>
        <v>0</v>
      </c>
      <c r="AG43" s="66">
        <f t="shared" si="9"/>
        <v>0</v>
      </c>
      <c r="AH43" s="66">
        <f t="shared" si="9"/>
        <v>0</v>
      </c>
      <c r="AI43" s="66">
        <f t="shared" si="9"/>
        <v>0</v>
      </c>
      <c r="AJ43" s="66">
        <f t="shared" si="10"/>
        <v>0</v>
      </c>
      <c r="AK43" s="66">
        <f t="shared" si="10"/>
        <v>0</v>
      </c>
      <c r="AL43" s="66">
        <f t="shared" si="10"/>
        <v>0</v>
      </c>
      <c r="AM43" s="66">
        <f t="shared" si="10"/>
        <v>0</v>
      </c>
      <c r="AN43" s="66">
        <f t="shared" si="10"/>
        <v>0</v>
      </c>
      <c r="AO43" s="66">
        <f t="shared" si="10"/>
        <v>0</v>
      </c>
    </row>
    <row r="44" spans="1:41" ht="13.5" thickBot="1">
      <c r="A44" s="32">
        <f t="shared" si="6"/>
        <v>37073</v>
      </c>
      <c r="B44" s="36">
        <f>IF($A44="","",IF(VLOOKUP($A44,TrendFacDump,2,FALSE)=0,0,VLOOKUP(EOMONTH(ValDat,-1)+1,TrendFacDump,2,FALSE)/VLOOKUP($A44,TrendFacDump,2,FALSE)))</f>
        <v>1</v>
      </c>
      <c r="C44" s="50">
        <f t="shared" si="1"/>
        <v>2830.074</v>
      </c>
      <c r="D44" s="66">
        <f t="shared" si="7"/>
        <v>0</v>
      </c>
      <c r="E44" s="67">
        <f>IF($A44="","",E43+F44+G43+H42+I41+J40+K39+L38+M37+N36+O35+P34+Q33+R32+S31+T30+U29+V28+W27+X26+Y25+Z24+AA23+AB22+AC21+AD20+AE19+AF18+AG17+AH16+AI15+AJ14+AK13+AL12+AM11+AN10+AO9)</f>
        <v>6020883</v>
      </c>
      <c r="F44" s="70">
        <f t="shared" si="12"/>
        <v>0</v>
      </c>
      <c r="G44" s="70">
        <f t="shared" si="12"/>
        <v>0</v>
      </c>
      <c r="H44" s="70">
        <f t="shared" si="12"/>
        <v>0</v>
      </c>
      <c r="I44" s="70">
        <f t="shared" si="12"/>
        <v>0</v>
      </c>
      <c r="J44" s="66">
        <f t="shared" si="12"/>
        <v>0</v>
      </c>
      <c r="K44" s="66">
        <f t="shared" si="12"/>
        <v>0</v>
      </c>
      <c r="L44" s="66">
        <f t="shared" si="12"/>
        <v>0</v>
      </c>
      <c r="M44" s="66">
        <f t="shared" si="12"/>
        <v>0</v>
      </c>
      <c r="N44" s="66">
        <f t="shared" si="12"/>
        <v>0</v>
      </c>
      <c r="O44" s="66">
        <f t="shared" si="12"/>
        <v>0</v>
      </c>
      <c r="P44" s="66">
        <f t="shared" si="11"/>
        <v>0</v>
      </c>
      <c r="Q44" s="66">
        <f t="shared" si="11"/>
        <v>0</v>
      </c>
      <c r="R44" s="66">
        <f t="shared" si="11"/>
        <v>0</v>
      </c>
      <c r="S44" s="66">
        <f t="shared" si="11"/>
        <v>0</v>
      </c>
      <c r="T44" s="66">
        <f t="shared" si="11"/>
        <v>0</v>
      </c>
      <c r="U44" s="66">
        <f t="shared" si="11"/>
        <v>0</v>
      </c>
      <c r="V44" s="66">
        <f t="shared" si="11"/>
        <v>0</v>
      </c>
      <c r="W44" s="66">
        <f t="shared" si="11"/>
        <v>0</v>
      </c>
      <c r="X44" s="66">
        <f t="shared" si="11"/>
        <v>0</v>
      </c>
      <c r="Y44" s="66">
        <f t="shared" si="11"/>
        <v>0</v>
      </c>
      <c r="Z44" s="66">
        <f t="shared" si="9"/>
        <v>0</v>
      </c>
      <c r="AA44" s="66">
        <f t="shared" si="9"/>
        <v>0</v>
      </c>
      <c r="AB44" s="66">
        <f t="shared" si="9"/>
        <v>0</v>
      </c>
      <c r="AC44" s="66">
        <f aca="true" t="shared" si="13" ref="AC44:AI44">IF($A44="","",VLOOKUP($A44,ReportedDump,AC$8+2,FALSE))</f>
        <v>0</v>
      </c>
      <c r="AD44" s="66">
        <f t="shared" si="13"/>
        <v>0</v>
      </c>
      <c r="AE44" s="66">
        <f t="shared" si="13"/>
        <v>0</v>
      </c>
      <c r="AF44" s="66">
        <f t="shared" si="13"/>
        <v>0</v>
      </c>
      <c r="AG44" s="66">
        <f t="shared" si="13"/>
        <v>0</v>
      </c>
      <c r="AH44" s="66">
        <f t="shared" si="13"/>
        <v>0</v>
      </c>
      <c r="AI44" s="66">
        <f t="shared" si="13"/>
        <v>0</v>
      </c>
      <c r="AJ44" s="66">
        <f t="shared" si="10"/>
        <v>0</v>
      </c>
      <c r="AK44" s="66">
        <f t="shared" si="10"/>
        <v>0</v>
      </c>
      <c r="AL44" s="66">
        <f t="shared" si="10"/>
        <v>0</v>
      </c>
      <c r="AM44" s="66">
        <f t="shared" si="10"/>
        <v>0</v>
      </c>
      <c r="AN44" s="66">
        <f t="shared" si="10"/>
        <v>0</v>
      </c>
      <c r="AO44" s="66">
        <f t="shared" si="10"/>
        <v>0</v>
      </c>
    </row>
    <row r="45" spans="1:41" ht="13.5" thickTop="1">
      <c r="A45" s="7"/>
      <c r="B45" s="7"/>
      <c r="C45" s="57">
        <f>SUM(C9:C44)</f>
        <v>104079.17000000001</v>
      </c>
      <c r="D45" s="71">
        <f>SUM(D9:D44)</f>
        <v>6121426</v>
      </c>
      <c r="E45" s="68"/>
      <c r="F45" s="68">
        <f aca="true" t="shared" si="14" ref="F45:AO45">SUM(F9:F44)</f>
        <v>821679</v>
      </c>
      <c r="G45" s="68">
        <f t="shared" si="14"/>
        <v>2343762</v>
      </c>
      <c r="H45" s="68">
        <f t="shared" si="14"/>
        <v>1264074</v>
      </c>
      <c r="I45" s="68">
        <f t="shared" si="14"/>
        <v>955052</v>
      </c>
      <c r="J45" s="68">
        <f t="shared" si="14"/>
        <v>318112</v>
      </c>
      <c r="K45" s="68">
        <f t="shared" si="14"/>
        <v>138511</v>
      </c>
      <c r="L45" s="68">
        <f t="shared" si="14"/>
        <v>95965</v>
      </c>
      <c r="M45" s="68">
        <f t="shared" si="14"/>
        <v>99499</v>
      </c>
      <c r="N45" s="68">
        <f t="shared" si="14"/>
        <v>19159</v>
      </c>
      <c r="O45" s="68">
        <f t="shared" si="14"/>
        <v>8094</v>
      </c>
      <c r="P45" s="68">
        <f t="shared" si="14"/>
        <v>3668</v>
      </c>
      <c r="Q45" s="68">
        <f t="shared" si="14"/>
        <v>12616</v>
      </c>
      <c r="R45" s="68">
        <f t="shared" si="14"/>
        <v>7544</v>
      </c>
      <c r="S45" s="68">
        <f t="shared" si="14"/>
        <v>6155</v>
      </c>
      <c r="T45" s="68">
        <f t="shared" si="14"/>
        <v>19814</v>
      </c>
      <c r="U45" s="68">
        <f t="shared" si="14"/>
        <v>3157</v>
      </c>
      <c r="V45" s="68">
        <f t="shared" si="14"/>
        <v>1433</v>
      </c>
      <c r="W45" s="68">
        <f t="shared" si="14"/>
        <v>2630</v>
      </c>
      <c r="X45" s="68">
        <f t="shared" si="14"/>
        <v>150</v>
      </c>
      <c r="Y45" s="68">
        <f t="shared" si="14"/>
        <v>352</v>
      </c>
      <c r="Z45" s="68">
        <f t="shared" si="14"/>
        <v>0</v>
      </c>
      <c r="AA45" s="68">
        <f t="shared" si="14"/>
        <v>0</v>
      </c>
      <c r="AB45" s="68">
        <f t="shared" si="14"/>
        <v>0</v>
      </c>
      <c r="AC45" s="68">
        <f t="shared" si="14"/>
        <v>0</v>
      </c>
      <c r="AD45" s="68">
        <f t="shared" si="14"/>
        <v>0</v>
      </c>
      <c r="AE45" s="68">
        <f t="shared" si="14"/>
        <v>0</v>
      </c>
      <c r="AF45" s="68">
        <f t="shared" si="14"/>
        <v>0</v>
      </c>
      <c r="AG45" s="68">
        <f t="shared" si="14"/>
        <v>0</v>
      </c>
      <c r="AH45" s="68">
        <f t="shared" si="14"/>
        <v>0</v>
      </c>
      <c r="AI45" s="68">
        <f t="shared" si="14"/>
        <v>0</v>
      </c>
      <c r="AJ45" s="68">
        <f t="shared" si="14"/>
        <v>0</v>
      </c>
      <c r="AK45" s="68">
        <f t="shared" si="14"/>
        <v>0</v>
      </c>
      <c r="AL45" s="68">
        <f t="shared" si="14"/>
        <v>0</v>
      </c>
      <c r="AM45" s="68">
        <f t="shared" si="14"/>
        <v>0</v>
      </c>
      <c r="AN45" s="68">
        <f t="shared" si="14"/>
        <v>0</v>
      </c>
      <c r="AO45" s="68">
        <f t="shared" si="14"/>
        <v>0</v>
      </c>
    </row>
    <row r="46" spans="1:41" ht="16.5" customHeight="1">
      <c r="A46" s="1"/>
      <c r="B46" s="1"/>
      <c r="C46" s="1"/>
      <c r="D46" s="1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 s="156" customFormat="1" ht="12.75">
      <c r="A47" s="155"/>
      <c r="B47" s="155"/>
      <c r="C47" s="155"/>
      <c r="D47" s="155"/>
      <c r="E47" s="155"/>
      <c r="F47" s="136" t="s">
        <v>59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2"/>
    </row>
    <row r="48" spans="1:41" ht="12.75">
      <c r="A48" s="1"/>
      <c r="B48" s="1"/>
      <c r="C48" s="1"/>
      <c r="D48" s="1"/>
      <c r="E48" s="87" t="s">
        <v>166</v>
      </c>
      <c r="F48" s="20">
        <f>MCF</f>
        <v>4</v>
      </c>
      <c r="G48" s="20">
        <f>F48</f>
        <v>4</v>
      </c>
      <c r="H48" s="20">
        <f aca="true" t="shared" si="15" ref="H48:AO48">G48</f>
        <v>4</v>
      </c>
      <c r="I48" s="20">
        <f t="shared" si="15"/>
        <v>4</v>
      </c>
      <c r="J48" s="20">
        <f t="shared" si="15"/>
        <v>4</v>
      </c>
      <c r="K48" s="20">
        <f t="shared" si="15"/>
        <v>4</v>
      </c>
      <c r="L48" s="20">
        <f t="shared" si="15"/>
        <v>4</v>
      </c>
      <c r="M48" s="20">
        <f t="shared" si="15"/>
        <v>4</v>
      </c>
      <c r="N48" s="20">
        <f t="shared" si="15"/>
        <v>4</v>
      </c>
      <c r="O48" s="20">
        <f t="shared" si="15"/>
        <v>4</v>
      </c>
      <c r="P48" s="20">
        <f t="shared" si="15"/>
        <v>4</v>
      </c>
      <c r="Q48" s="20">
        <f t="shared" si="15"/>
        <v>4</v>
      </c>
      <c r="R48" s="20">
        <f t="shared" si="15"/>
        <v>4</v>
      </c>
      <c r="S48" s="20">
        <f t="shared" si="15"/>
        <v>4</v>
      </c>
      <c r="T48" s="20">
        <f t="shared" si="15"/>
        <v>4</v>
      </c>
      <c r="U48" s="20">
        <f t="shared" si="15"/>
        <v>4</v>
      </c>
      <c r="V48" s="20">
        <f t="shared" si="15"/>
        <v>4</v>
      </c>
      <c r="W48" s="20">
        <f t="shared" si="15"/>
        <v>4</v>
      </c>
      <c r="X48" s="20">
        <f t="shared" si="15"/>
        <v>4</v>
      </c>
      <c r="Y48" s="20">
        <f t="shared" si="15"/>
        <v>4</v>
      </c>
      <c r="Z48" s="20">
        <f t="shared" si="15"/>
        <v>4</v>
      </c>
      <c r="AA48" s="20">
        <f t="shared" si="15"/>
        <v>4</v>
      </c>
      <c r="AB48" s="20">
        <f t="shared" si="15"/>
        <v>4</v>
      </c>
      <c r="AC48" s="20">
        <f t="shared" si="15"/>
        <v>4</v>
      </c>
      <c r="AD48" s="20">
        <f t="shared" si="15"/>
        <v>4</v>
      </c>
      <c r="AE48" s="20">
        <f t="shared" si="15"/>
        <v>4</v>
      </c>
      <c r="AF48" s="20">
        <f t="shared" si="15"/>
        <v>4</v>
      </c>
      <c r="AG48" s="20">
        <f t="shared" si="15"/>
        <v>4</v>
      </c>
      <c r="AH48" s="20">
        <f t="shared" si="15"/>
        <v>4</v>
      </c>
      <c r="AI48" s="20">
        <f t="shared" si="15"/>
        <v>4</v>
      </c>
      <c r="AJ48" s="20">
        <f t="shared" si="15"/>
        <v>4</v>
      </c>
      <c r="AK48" s="20">
        <f t="shared" si="15"/>
        <v>4</v>
      </c>
      <c r="AL48" s="20">
        <f t="shared" si="15"/>
        <v>4</v>
      </c>
      <c r="AM48" s="20">
        <f t="shared" si="15"/>
        <v>4</v>
      </c>
      <c r="AN48" s="20">
        <f t="shared" si="15"/>
        <v>4</v>
      </c>
      <c r="AO48" s="20">
        <f t="shared" si="15"/>
        <v>4</v>
      </c>
    </row>
    <row r="49" spans="1:41" ht="12.75">
      <c r="A49" s="21" t="s">
        <v>160</v>
      </c>
      <c r="B49" s="22"/>
      <c r="C49" s="22"/>
      <c r="D49" s="23"/>
      <c r="E49" s="89">
        <f>SUM(F49:AO49)</f>
        <v>488690</v>
      </c>
      <c r="F49" s="90">
        <f ca="1">IF(F$8&gt;MEP-1,0,SUM(OFFSET(F45,MAX(-F48-(ABS(F8-MRO)+(F8-MRO))/2,-MEP)-(MNR-MEP),0,MIN(F48,MEP-F8),1)))</f>
        <v>25516</v>
      </c>
      <c r="G49" s="90">
        <f ca="1">IF(G$8&gt;MEP-1,0,SUM(OFFSET(G45,MAX(-G48-(ABS(G8-MRO)+(G8-MRO))/2,-MEP)-(MNR-MEP),0,MIN(G48,MEP-G8),1)))</f>
        <v>123725</v>
      </c>
      <c r="H49" s="90">
        <f aca="true" ca="1" t="shared" si="16" ref="H49:AO49">IF(H$8&gt;MEP-1,0,SUM(OFFSET(H45,MAX(-H48-(ABS(H8-MRO)+(H8-MRO))/2,-MEP)-(MNR-MEP),0,MIN(H48,MEP-H8),1)))</f>
        <v>112516</v>
      </c>
      <c r="I49" s="90">
        <f ca="1" t="shared" si="16"/>
        <v>140298</v>
      </c>
      <c r="J49" s="90">
        <f ca="1" t="shared" si="16"/>
        <v>34295</v>
      </c>
      <c r="K49" s="90">
        <f ca="1" t="shared" si="16"/>
        <v>14704</v>
      </c>
      <c r="L49" s="90">
        <f ca="1" t="shared" si="16"/>
        <v>15619</v>
      </c>
      <c r="M49" s="90">
        <f ca="1" t="shared" si="16"/>
        <v>14313</v>
      </c>
      <c r="N49" s="90">
        <f ca="1" t="shared" si="16"/>
        <v>3116</v>
      </c>
      <c r="O49" s="90">
        <f ca="1" t="shared" si="16"/>
        <v>601</v>
      </c>
      <c r="P49" s="90">
        <f ca="1" t="shared" si="16"/>
        <v>730</v>
      </c>
      <c r="Q49" s="90">
        <f ca="1" t="shared" si="16"/>
        <v>796</v>
      </c>
      <c r="R49" s="90">
        <f ca="1" t="shared" si="16"/>
        <v>0</v>
      </c>
      <c r="S49" s="90">
        <f ca="1" t="shared" si="16"/>
        <v>0</v>
      </c>
      <c r="T49" s="90">
        <f ca="1" t="shared" si="16"/>
        <v>0</v>
      </c>
      <c r="U49" s="90">
        <f ca="1" t="shared" si="16"/>
        <v>1855</v>
      </c>
      <c r="V49" s="90">
        <f ca="1" t="shared" si="16"/>
        <v>438</v>
      </c>
      <c r="W49" s="90">
        <f ca="1" t="shared" si="16"/>
        <v>168</v>
      </c>
      <c r="X49" s="90">
        <f ca="1" t="shared" si="16"/>
        <v>0</v>
      </c>
      <c r="Y49" s="90">
        <f ca="1" t="shared" si="16"/>
        <v>0</v>
      </c>
      <c r="Z49" s="90">
        <f ca="1" t="shared" si="16"/>
        <v>0</v>
      </c>
      <c r="AA49" s="90">
        <f ca="1" t="shared" si="16"/>
        <v>0</v>
      </c>
      <c r="AB49" s="90">
        <f ca="1" t="shared" si="16"/>
        <v>0</v>
      </c>
      <c r="AC49" s="90">
        <f ca="1" t="shared" si="16"/>
        <v>0</v>
      </c>
      <c r="AD49" s="90">
        <f ca="1" t="shared" si="16"/>
        <v>0</v>
      </c>
      <c r="AE49" s="90">
        <f ca="1" t="shared" si="16"/>
        <v>0</v>
      </c>
      <c r="AF49" s="90">
        <f ca="1" t="shared" si="16"/>
        <v>0</v>
      </c>
      <c r="AG49" s="90">
        <f ca="1" t="shared" si="16"/>
        <v>0</v>
      </c>
      <c r="AH49" s="90">
        <f ca="1" t="shared" si="16"/>
        <v>0</v>
      </c>
      <c r="AI49" s="90">
        <f ca="1" t="shared" si="16"/>
        <v>0</v>
      </c>
      <c r="AJ49" s="90">
        <f ca="1" t="shared" si="16"/>
        <v>0</v>
      </c>
      <c r="AK49" s="90">
        <f ca="1" t="shared" si="16"/>
        <v>0</v>
      </c>
      <c r="AL49" s="90">
        <f ca="1" t="shared" si="16"/>
        <v>0</v>
      </c>
      <c r="AM49" s="90">
        <f ca="1" t="shared" si="16"/>
        <v>0</v>
      </c>
      <c r="AN49" s="90">
        <f ca="1" t="shared" si="16"/>
        <v>0</v>
      </c>
      <c r="AO49" s="91">
        <f ca="1" t="shared" si="16"/>
        <v>0</v>
      </c>
    </row>
    <row r="50" spans="1:41" ht="12.75">
      <c r="A50" s="24" t="s">
        <v>159</v>
      </c>
      <c r="B50" s="25"/>
      <c r="C50" s="25"/>
      <c r="D50" s="26"/>
      <c r="E50" s="85">
        <f>SUM(F50:AO50)</f>
        <v>498816.543702019</v>
      </c>
      <c r="F50" s="104">
        <f ca="1">IF(F$8&gt;MEP-1,0,SUMPRODUCT(OFFSET(F45,MAX(-F48-(ABS(F8-MRO)+(F8-MRO))/2,-MEP)-(MNR-MEP),0,MIN(F48,MEP-F8),1),OFFSET($B45,MAX(-F48-(ABS(F8-MRO)+(F8-MRO))/2,-MEP)-(MNR-MEP),0,MIN(F48,MEP-F8),1)))</f>
        <v>25771.73314791222</v>
      </c>
      <c r="G50" s="104">
        <f aca="true" ca="1" t="shared" si="17" ref="G50:AO50">IF(G$8&gt;MEP-1,0,SUMPRODUCT(OFFSET(G45,MAX(-G48-(ABS(G8-MRO)+(G8-MRO))/2,-MEP)-(MNR-MEP),0,MIN(G48,MEP-G8),1),OFFSET($B45,MAX(-G48-(ABS(G8-MRO)+(G8-MRO))/2,-MEP)-(MNR-MEP),0,MIN(G48,MEP-G8),1)))</f>
        <v>125604.47817848064</v>
      </c>
      <c r="H50" s="104">
        <f ca="1" t="shared" si="17"/>
        <v>114509.71926926728</v>
      </c>
      <c r="I50" s="104">
        <f ca="1" t="shared" si="17"/>
        <v>143256.3172230448</v>
      </c>
      <c r="J50" s="104">
        <f ca="1" t="shared" si="17"/>
        <v>35168.1382048097</v>
      </c>
      <c r="K50" s="104">
        <f ca="1" t="shared" si="17"/>
        <v>15225.020275508643</v>
      </c>
      <c r="L50" s="104">
        <f ca="1" t="shared" si="17"/>
        <v>16149.067542985897</v>
      </c>
      <c r="M50" s="104">
        <f ca="1" t="shared" si="17"/>
        <v>14933.058336740198</v>
      </c>
      <c r="N50" s="104">
        <f ca="1" t="shared" si="17"/>
        <v>3266.8359252531563</v>
      </c>
      <c r="O50" s="104">
        <f ca="1" t="shared" si="17"/>
        <v>636.4350956098285</v>
      </c>
      <c r="P50" s="104">
        <f ca="1" t="shared" si="17"/>
        <v>773.9423324368909</v>
      </c>
      <c r="Q50" s="104">
        <f ca="1" t="shared" si="17"/>
        <v>846.9239097754121</v>
      </c>
      <c r="R50" s="104">
        <f ca="1" t="shared" si="17"/>
        <v>0</v>
      </c>
      <c r="S50" s="104">
        <f ca="1" t="shared" si="17"/>
        <v>0</v>
      </c>
      <c r="T50" s="104">
        <f ca="1" t="shared" si="17"/>
        <v>0</v>
      </c>
      <c r="U50" s="104">
        <f ca="1" t="shared" si="17"/>
        <v>2011.9232589801634</v>
      </c>
      <c r="V50" s="104">
        <f ca="1" t="shared" si="17"/>
        <v>478.7202741607664</v>
      </c>
      <c r="W50" s="104">
        <f ca="1" t="shared" si="17"/>
        <v>184.23072705340496</v>
      </c>
      <c r="X50" s="104">
        <f ca="1" t="shared" si="17"/>
        <v>0</v>
      </c>
      <c r="Y50" s="104">
        <f ca="1" t="shared" si="17"/>
        <v>0</v>
      </c>
      <c r="Z50" s="104">
        <f ca="1" t="shared" si="17"/>
        <v>0</v>
      </c>
      <c r="AA50" s="104">
        <f ca="1" t="shared" si="17"/>
        <v>0</v>
      </c>
      <c r="AB50" s="104">
        <f ca="1" t="shared" si="17"/>
        <v>0</v>
      </c>
      <c r="AC50" s="104">
        <f ca="1" t="shared" si="17"/>
        <v>0</v>
      </c>
      <c r="AD50" s="104">
        <f ca="1" t="shared" si="17"/>
        <v>0</v>
      </c>
      <c r="AE50" s="104">
        <f ca="1" t="shared" si="17"/>
        <v>0</v>
      </c>
      <c r="AF50" s="104">
        <f ca="1" t="shared" si="17"/>
        <v>0</v>
      </c>
      <c r="AG50" s="104">
        <f ca="1" t="shared" si="17"/>
        <v>0</v>
      </c>
      <c r="AH50" s="104">
        <f ca="1" t="shared" si="17"/>
        <v>0</v>
      </c>
      <c r="AI50" s="104">
        <f ca="1" t="shared" si="17"/>
        <v>0</v>
      </c>
      <c r="AJ50" s="104">
        <f ca="1" t="shared" si="17"/>
        <v>0</v>
      </c>
      <c r="AK50" s="104">
        <f ca="1" t="shared" si="17"/>
        <v>0</v>
      </c>
      <c r="AL50" s="104">
        <f ca="1" t="shared" si="17"/>
        <v>0</v>
      </c>
      <c r="AM50" s="104">
        <f ca="1" t="shared" si="17"/>
        <v>0</v>
      </c>
      <c r="AN50" s="104">
        <f ca="1" t="shared" si="17"/>
        <v>0</v>
      </c>
      <c r="AO50" s="107">
        <f ca="1" t="shared" si="17"/>
        <v>0</v>
      </c>
    </row>
    <row r="51" spans="1:41" ht="12.75">
      <c r="A51" s="27" t="s">
        <v>161</v>
      </c>
      <c r="B51" s="28"/>
      <c r="C51" s="28"/>
      <c r="D51" s="29"/>
      <c r="E51" s="86"/>
      <c r="F51" s="92">
        <f ca="1">IF(F$8&gt;MEP-1,0,SUM(OFFSET($C45,MAX(-F48-(ABS(F8-MRO)+(F8-MRO))/2,-MEP)-(MNR-MEP),0,MIN(F48,MEP-F8),1)))</f>
        <v>11266.073</v>
      </c>
      <c r="G51" s="92">
        <f aca="true" ca="1" t="shared" si="18" ref="G51:AO51">IF(G$8&gt;MEP-1,0,SUM(OFFSET($C45,MAX(-G48-(ABS(G8-MRO)+(G8-MRO))/2,-MEP)-(MNR-MEP),0,MIN(G48,MEP-G8),1)))</f>
        <v>11284.34</v>
      </c>
      <c r="H51" s="92">
        <f ca="1" t="shared" si="18"/>
        <v>11360.851999999999</v>
      </c>
      <c r="I51" s="92">
        <f ca="1" t="shared" si="18"/>
        <v>11433.044</v>
      </c>
      <c r="J51" s="92">
        <f ca="1" t="shared" si="18"/>
        <v>11510.352</v>
      </c>
      <c r="K51" s="92">
        <f ca="1" t="shared" si="18"/>
        <v>11559.235999999999</v>
      </c>
      <c r="L51" s="92">
        <f ca="1" t="shared" si="18"/>
        <v>11599.474</v>
      </c>
      <c r="M51" s="92">
        <f ca="1" t="shared" si="18"/>
        <v>11665.006000000001</v>
      </c>
      <c r="N51" s="92">
        <f ca="1" t="shared" si="18"/>
        <v>11765.189</v>
      </c>
      <c r="O51" s="92">
        <f ca="1" t="shared" si="18"/>
        <v>11874.029999999999</v>
      </c>
      <c r="P51" s="92">
        <f ca="1" t="shared" si="18"/>
        <v>11966.257999999998</v>
      </c>
      <c r="Q51" s="92">
        <f ca="1" t="shared" si="18"/>
        <v>12066.181999999999</v>
      </c>
      <c r="R51" s="92">
        <f ca="1" t="shared" si="18"/>
        <v>12106.623</v>
      </c>
      <c r="S51" s="92">
        <f ca="1" t="shared" si="18"/>
        <v>12101.947</v>
      </c>
      <c r="T51" s="92">
        <f ca="1" t="shared" si="18"/>
        <v>12088.512</v>
      </c>
      <c r="U51" s="92">
        <f ca="1" t="shared" si="18"/>
        <v>12038.576</v>
      </c>
      <c r="V51" s="92">
        <f ca="1" t="shared" si="18"/>
        <v>12029.492999999999</v>
      </c>
      <c r="W51" s="92">
        <f ca="1" t="shared" si="18"/>
        <v>12042.186000000002</v>
      </c>
      <c r="X51" s="92">
        <f ca="1" t="shared" si="18"/>
        <v>11979.477</v>
      </c>
      <c r="Y51" s="92">
        <f ca="1" t="shared" si="18"/>
        <v>11950.039</v>
      </c>
      <c r="Z51" s="92">
        <f ca="1" t="shared" si="18"/>
        <v>11889.131000000001</v>
      </c>
      <c r="AA51" s="92">
        <f ca="1" t="shared" si="18"/>
        <v>11705.434000000001</v>
      </c>
      <c r="AB51" s="92">
        <f ca="1" t="shared" si="18"/>
        <v>11603.006</v>
      </c>
      <c r="AC51" s="92">
        <f ca="1" t="shared" si="18"/>
        <v>11503.147</v>
      </c>
      <c r="AD51" s="92">
        <f ca="1" t="shared" si="18"/>
        <v>11455.701000000001</v>
      </c>
      <c r="AE51" s="92">
        <f ca="1" t="shared" si="18"/>
        <v>11454.891000000001</v>
      </c>
      <c r="AF51" s="92">
        <f ca="1" t="shared" si="18"/>
        <v>11430.595</v>
      </c>
      <c r="AG51" s="92">
        <f ca="1" t="shared" si="18"/>
        <v>11391.631</v>
      </c>
      <c r="AH51" s="92">
        <f ca="1" t="shared" si="18"/>
        <v>11307.723000000002</v>
      </c>
      <c r="AI51" s="92">
        <f ca="1" t="shared" si="18"/>
        <v>11258.901</v>
      </c>
      <c r="AJ51" s="92">
        <f ca="1" t="shared" si="18"/>
        <v>11170.482999999998</v>
      </c>
      <c r="AK51" s="92">
        <f ca="1" t="shared" si="18"/>
        <v>10999.188</v>
      </c>
      <c r="AL51" s="92">
        <f ca="1" t="shared" si="18"/>
        <v>10748.884999999998</v>
      </c>
      <c r="AM51" s="92">
        <f ca="1" t="shared" si="18"/>
        <v>7968.130999999999</v>
      </c>
      <c r="AN51" s="92">
        <f ca="1" t="shared" si="18"/>
        <v>5239.923</v>
      </c>
      <c r="AO51" s="93">
        <f ca="1" t="shared" si="18"/>
        <v>2576.156</v>
      </c>
    </row>
    <row r="52" spans="1:41" ht="12.75">
      <c r="A52" s="21" t="s">
        <v>164</v>
      </c>
      <c r="B52" s="22"/>
      <c r="C52" s="22"/>
      <c r="D52" s="23"/>
      <c r="E52" s="86">
        <f>SUM(F52:AO52)</f>
        <v>43.76098231729327</v>
      </c>
      <c r="F52" s="94">
        <f>IF(F51=0,0,F50/F51)</f>
        <v>2.287552472623976</v>
      </c>
      <c r="G52" s="94">
        <f aca="true" t="shared" si="19" ref="G52:AO52">IF(G51=0,0,G50/G51)</f>
        <v>11.130866154199593</v>
      </c>
      <c r="H52" s="94">
        <f t="shared" si="19"/>
        <v>10.079324972217515</v>
      </c>
      <c r="I52" s="94">
        <f t="shared" si="19"/>
        <v>12.530024132072334</v>
      </c>
      <c r="J52" s="94">
        <f t="shared" si="19"/>
        <v>3.055348629200019</v>
      </c>
      <c r="K52" s="94">
        <f t="shared" si="19"/>
        <v>1.317130325525722</v>
      </c>
      <c r="L52" s="94">
        <f t="shared" si="19"/>
        <v>1.3922241252479117</v>
      </c>
      <c r="M52" s="94">
        <f t="shared" si="19"/>
        <v>1.2801586503033258</v>
      </c>
      <c r="N52" s="94">
        <f t="shared" si="19"/>
        <v>0.27766965114229414</v>
      </c>
      <c r="O52" s="94">
        <f t="shared" si="19"/>
        <v>0.05359891255200034</v>
      </c>
      <c r="P52" s="94">
        <f t="shared" si="19"/>
        <v>0.0646770554702139</v>
      </c>
      <c r="Q52" s="94">
        <f t="shared" si="19"/>
        <v>0.070189883575054</v>
      </c>
      <c r="R52" s="94">
        <f t="shared" si="19"/>
        <v>0</v>
      </c>
      <c r="S52" s="94">
        <f t="shared" si="19"/>
        <v>0</v>
      </c>
      <c r="T52" s="94">
        <f t="shared" si="19"/>
        <v>0</v>
      </c>
      <c r="U52" s="94">
        <f t="shared" si="19"/>
        <v>0.16712302675832785</v>
      </c>
      <c r="V52" s="94">
        <f t="shared" si="19"/>
        <v>0.03979554867031939</v>
      </c>
      <c r="W52" s="94">
        <f t="shared" si="19"/>
        <v>0.015298777734657557</v>
      </c>
      <c r="X52" s="94">
        <f t="shared" si="19"/>
        <v>0</v>
      </c>
      <c r="Y52" s="94">
        <f t="shared" si="19"/>
        <v>0</v>
      </c>
      <c r="Z52" s="94">
        <f t="shared" si="19"/>
        <v>0</v>
      </c>
      <c r="AA52" s="94">
        <f t="shared" si="19"/>
        <v>0</v>
      </c>
      <c r="AB52" s="94">
        <f t="shared" si="19"/>
        <v>0</v>
      </c>
      <c r="AC52" s="94">
        <f t="shared" si="19"/>
        <v>0</v>
      </c>
      <c r="AD52" s="94">
        <f t="shared" si="19"/>
        <v>0</v>
      </c>
      <c r="AE52" s="94">
        <f t="shared" si="19"/>
        <v>0</v>
      </c>
      <c r="AF52" s="94">
        <f t="shared" si="19"/>
        <v>0</v>
      </c>
      <c r="AG52" s="94">
        <f t="shared" si="19"/>
        <v>0</v>
      </c>
      <c r="AH52" s="94">
        <f t="shared" si="19"/>
        <v>0</v>
      </c>
      <c r="AI52" s="94">
        <f t="shared" si="19"/>
        <v>0</v>
      </c>
      <c r="AJ52" s="94">
        <f t="shared" si="19"/>
        <v>0</v>
      </c>
      <c r="AK52" s="94">
        <f t="shared" si="19"/>
        <v>0</v>
      </c>
      <c r="AL52" s="94">
        <f t="shared" si="19"/>
        <v>0</v>
      </c>
      <c r="AM52" s="94">
        <f t="shared" si="19"/>
        <v>0</v>
      </c>
      <c r="AN52" s="94">
        <f t="shared" si="19"/>
        <v>0</v>
      </c>
      <c r="AO52" s="93">
        <f t="shared" si="19"/>
        <v>0</v>
      </c>
    </row>
    <row r="53" spans="1:41" ht="12.75">
      <c r="A53" s="24" t="s">
        <v>162</v>
      </c>
      <c r="B53" s="25"/>
      <c r="C53" s="25"/>
      <c r="D53" s="26"/>
      <c r="E53" s="86"/>
      <c r="F53" s="94">
        <f aca="true" t="shared" si="20" ref="F53:AO53">E53+F52</f>
        <v>2.287552472623976</v>
      </c>
      <c r="G53" s="94">
        <f t="shared" si="20"/>
        <v>13.41841862682357</v>
      </c>
      <c r="H53" s="94">
        <f t="shared" si="20"/>
        <v>23.497743599041087</v>
      </c>
      <c r="I53" s="94">
        <f t="shared" si="20"/>
        <v>36.02776773111342</v>
      </c>
      <c r="J53" s="94">
        <f t="shared" si="20"/>
        <v>39.08311636031344</v>
      </c>
      <c r="K53" s="94">
        <f t="shared" si="20"/>
        <v>40.400246685839164</v>
      </c>
      <c r="L53" s="94">
        <f t="shared" si="20"/>
        <v>41.79247081108708</v>
      </c>
      <c r="M53" s="94">
        <f t="shared" si="20"/>
        <v>43.072629461390406</v>
      </c>
      <c r="N53" s="94">
        <f t="shared" si="20"/>
        <v>43.3502991125327</v>
      </c>
      <c r="O53" s="94">
        <f t="shared" si="20"/>
        <v>43.4038980250847</v>
      </c>
      <c r="P53" s="94">
        <f t="shared" si="20"/>
        <v>43.46857508055491</v>
      </c>
      <c r="Q53" s="94">
        <f t="shared" si="20"/>
        <v>43.53876496412997</v>
      </c>
      <c r="R53" s="94">
        <f t="shared" si="20"/>
        <v>43.53876496412997</v>
      </c>
      <c r="S53" s="94">
        <f t="shared" si="20"/>
        <v>43.53876496412997</v>
      </c>
      <c r="T53" s="94">
        <f t="shared" si="20"/>
        <v>43.53876496412997</v>
      </c>
      <c r="U53" s="94">
        <f t="shared" si="20"/>
        <v>43.70588799088829</v>
      </c>
      <c r="V53" s="94">
        <f t="shared" si="20"/>
        <v>43.74568353955861</v>
      </c>
      <c r="W53" s="94">
        <f t="shared" si="20"/>
        <v>43.76098231729327</v>
      </c>
      <c r="X53" s="94">
        <f t="shared" si="20"/>
        <v>43.76098231729327</v>
      </c>
      <c r="Y53" s="94">
        <f t="shared" si="20"/>
        <v>43.76098231729327</v>
      </c>
      <c r="Z53" s="94">
        <f t="shared" si="20"/>
        <v>43.76098231729327</v>
      </c>
      <c r="AA53" s="94">
        <f t="shared" si="20"/>
        <v>43.76098231729327</v>
      </c>
      <c r="AB53" s="94">
        <f t="shared" si="20"/>
        <v>43.76098231729327</v>
      </c>
      <c r="AC53" s="94">
        <f t="shared" si="20"/>
        <v>43.76098231729327</v>
      </c>
      <c r="AD53" s="94">
        <f t="shared" si="20"/>
        <v>43.76098231729327</v>
      </c>
      <c r="AE53" s="94">
        <f t="shared" si="20"/>
        <v>43.76098231729327</v>
      </c>
      <c r="AF53" s="94">
        <f t="shared" si="20"/>
        <v>43.76098231729327</v>
      </c>
      <c r="AG53" s="94">
        <f t="shared" si="20"/>
        <v>43.76098231729327</v>
      </c>
      <c r="AH53" s="94">
        <f t="shared" si="20"/>
        <v>43.76098231729327</v>
      </c>
      <c r="AI53" s="94">
        <f t="shared" si="20"/>
        <v>43.76098231729327</v>
      </c>
      <c r="AJ53" s="94">
        <f t="shared" si="20"/>
        <v>43.76098231729327</v>
      </c>
      <c r="AK53" s="94">
        <f t="shared" si="20"/>
        <v>43.76098231729327</v>
      </c>
      <c r="AL53" s="94">
        <f t="shared" si="20"/>
        <v>43.76098231729327</v>
      </c>
      <c r="AM53" s="94">
        <f t="shared" si="20"/>
        <v>43.76098231729327</v>
      </c>
      <c r="AN53" s="94">
        <f t="shared" si="20"/>
        <v>43.76098231729327</v>
      </c>
      <c r="AO53" s="95">
        <f t="shared" si="20"/>
        <v>43.76098231729327</v>
      </c>
    </row>
    <row r="54" spans="1:41" ht="12.75">
      <c r="A54" s="27" t="s">
        <v>165</v>
      </c>
      <c r="B54" s="28"/>
      <c r="C54" s="28"/>
      <c r="D54" s="29"/>
      <c r="E54" s="96"/>
      <c r="F54" s="108">
        <f>IF($E52=0,0,ROUND(F53/$E52,5)*CMF)</f>
        <v>0.05227</v>
      </c>
      <c r="G54" s="108">
        <f aca="true" t="shared" si="21" ref="G54:AO54">IF($E52=0,0,ROUND(G53/$E52,5)*CMF)</f>
        <v>0.30663</v>
      </c>
      <c r="H54" s="108">
        <f t="shared" si="21"/>
        <v>0.53696</v>
      </c>
      <c r="I54" s="108">
        <f t="shared" si="21"/>
        <v>0.82329</v>
      </c>
      <c r="J54" s="108">
        <f t="shared" si="21"/>
        <v>0.8931</v>
      </c>
      <c r="K54" s="108">
        <f t="shared" si="21"/>
        <v>0.9232</v>
      </c>
      <c r="L54" s="108">
        <f t="shared" si="21"/>
        <v>0.95502</v>
      </c>
      <c r="M54" s="108">
        <f t="shared" si="21"/>
        <v>0.98427</v>
      </c>
      <c r="N54" s="108">
        <f t="shared" si="21"/>
        <v>0.99062</v>
      </c>
      <c r="O54" s="108">
        <f t="shared" si="21"/>
        <v>0.99184</v>
      </c>
      <c r="P54" s="108">
        <f t="shared" si="21"/>
        <v>0.99332</v>
      </c>
      <c r="Q54" s="108">
        <f t="shared" si="21"/>
        <v>0.99492</v>
      </c>
      <c r="R54" s="108">
        <f t="shared" si="21"/>
        <v>0.99492</v>
      </c>
      <c r="S54" s="108">
        <f t="shared" si="21"/>
        <v>0.99492</v>
      </c>
      <c r="T54" s="108">
        <f t="shared" si="21"/>
        <v>0.99492</v>
      </c>
      <c r="U54" s="108">
        <f t="shared" si="21"/>
        <v>0.99874</v>
      </c>
      <c r="V54" s="108">
        <f t="shared" si="21"/>
        <v>0.99965</v>
      </c>
      <c r="W54" s="108">
        <f t="shared" si="21"/>
        <v>1</v>
      </c>
      <c r="X54" s="108">
        <f t="shared" si="21"/>
        <v>1</v>
      </c>
      <c r="Y54" s="108">
        <f t="shared" si="21"/>
        <v>1</v>
      </c>
      <c r="Z54" s="108">
        <f t="shared" si="21"/>
        <v>1</v>
      </c>
      <c r="AA54" s="108">
        <f t="shared" si="21"/>
        <v>1</v>
      </c>
      <c r="AB54" s="108">
        <f t="shared" si="21"/>
        <v>1</v>
      </c>
      <c r="AC54" s="108">
        <f t="shared" si="21"/>
        <v>1</v>
      </c>
      <c r="AD54" s="108">
        <f t="shared" si="21"/>
        <v>1</v>
      </c>
      <c r="AE54" s="108">
        <f t="shared" si="21"/>
        <v>1</v>
      </c>
      <c r="AF54" s="108">
        <f t="shared" si="21"/>
        <v>1</v>
      </c>
      <c r="AG54" s="108">
        <f t="shared" si="21"/>
        <v>1</v>
      </c>
      <c r="AH54" s="108">
        <f t="shared" si="21"/>
        <v>1</v>
      </c>
      <c r="AI54" s="108">
        <f t="shared" si="21"/>
        <v>1</v>
      </c>
      <c r="AJ54" s="108">
        <f t="shared" si="21"/>
        <v>1</v>
      </c>
      <c r="AK54" s="108">
        <f t="shared" si="21"/>
        <v>1</v>
      </c>
      <c r="AL54" s="108">
        <f t="shared" si="21"/>
        <v>1</v>
      </c>
      <c r="AM54" s="108">
        <f t="shared" si="21"/>
        <v>1</v>
      </c>
      <c r="AN54" s="108">
        <f t="shared" si="21"/>
        <v>1</v>
      </c>
      <c r="AO54" s="109">
        <f t="shared" si="21"/>
        <v>1</v>
      </c>
    </row>
    <row r="55" spans="1:41" ht="16.5" customHeight="1">
      <c r="A55" s="1"/>
      <c r="B55" s="1"/>
      <c r="C55" s="1"/>
      <c r="D55" s="1"/>
      <c r="E55" s="31"/>
      <c r="F55" s="4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4.25">
      <c r="A56" s="1"/>
      <c r="B56" s="1"/>
      <c r="C56" s="1"/>
      <c r="D56" s="1"/>
      <c r="E56" s="1"/>
      <c r="F56" s="39" t="str">
        <f>F7</f>
        <v>REPORTED CLAIMS / NUMBER OF MONTHS BETWEEN INCURRED AND REPORTED DATES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</row>
    <row r="57" spans="1:41" ht="12.75">
      <c r="A57" s="113" t="s">
        <v>173</v>
      </c>
      <c r="B57" s="115"/>
      <c r="C57" s="115"/>
      <c r="D57" s="116" t="s">
        <v>171</v>
      </c>
      <c r="E57" s="114"/>
      <c r="F57" s="20">
        <f>F8</f>
        <v>0</v>
      </c>
      <c r="G57" s="20">
        <f aca="true" t="shared" si="22" ref="G57:AO57">G8</f>
        <v>1</v>
      </c>
      <c r="H57" s="20">
        <f t="shared" si="22"/>
        <v>2</v>
      </c>
      <c r="I57" s="20">
        <f t="shared" si="22"/>
        <v>3</v>
      </c>
      <c r="J57" s="20">
        <f t="shared" si="22"/>
        <v>4</v>
      </c>
      <c r="K57" s="20">
        <f t="shared" si="22"/>
        <v>5</v>
      </c>
      <c r="L57" s="20">
        <f t="shared" si="22"/>
        <v>6</v>
      </c>
      <c r="M57" s="20">
        <f t="shared" si="22"/>
        <v>7</v>
      </c>
      <c r="N57" s="20">
        <f t="shared" si="22"/>
        <v>8</v>
      </c>
      <c r="O57" s="20">
        <f t="shared" si="22"/>
        <v>9</v>
      </c>
      <c r="P57" s="20">
        <f t="shared" si="22"/>
        <v>10</v>
      </c>
      <c r="Q57" s="20">
        <f t="shared" si="22"/>
        <v>11</v>
      </c>
      <c r="R57" s="20">
        <f t="shared" si="22"/>
        <v>12</v>
      </c>
      <c r="S57" s="20">
        <f t="shared" si="22"/>
        <v>13</v>
      </c>
      <c r="T57" s="20">
        <f t="shared" si="22"/>
        <v>14</v>
      </c>
      <c r="U57" s="20">
        <f t="shared" si="22"/>
        <v>15</v>
      </c>
      <c r="V57" s="20">
        <f t="shared" si="22"/>
        <v>16</v>
      </c>
      <c r="W57" s="20">
        <f t="shared" si="22"/>
        <v>17</v>
      </c>
      <c r="X57" s="20">
        <f t="shared" si="22"/>
        <v>18</v>
      </c>
      <c r="Y57" s="20">
        <f t="shared" si="22"/>
        <v>19</v>
      </c>
      <c r="Z57" s="20">
        <f t="shared" si="22"/>
        <v>20</v>
      </c>
      <c r="AA57" s="20">
        <f t="shared" si="22"/>
        <v>21</v>
      </c>
      <c r="AB57" s="20">
        <f t="shared" si="22"/>
        <v>22</v>
      </c>
      <c r="AC57" s="20">
        <f t="shared" si="22"/>
        <v>23</v>
      </c>
      <c r="AD57" s="20">
        <f t="shared" si="22"/>
        <v>24</v>
      </c>
      <c r="AE57" s="20">
        <f t="shared" si="22"/>
        <v>25</v>
      </c>
      <c r="AF57" s="20">
        <f t="shared" si="22"/>
        <v>26</v>
      </c>
      <c r="AG57" s="20">
        <f t="shared" si="22"/>
        <v>27</v>
      </c>
      <c r="AH57" s="20">
        <f t="shared" si="22"/>
        <v>28</v>
      </c>
      <c r="AI57" s="20">
        <f t="shared" si="22"/>
        <v>29</v>
      </c>
      <c r="AJ57" s="20">
        <f t="shared" si="22"/>
        <v>30</v>
      </c>
      <c r="AK57" s="20">
        <f t="shared" si="22"/>
        <v>31</v>
      </c>
      <c r="AL57" s="20">
        <f t="shared" si="22"/>
        <v>32</v>
      </c>
      <c r="AM57" s="20">
        <f t="shared" si="22"/>
        <v>33</v>
      </c>
      <c r="AN57" s="20">
        <f t="shared" si="22"/>
        <v>34</v>
      </c>
      <c r="AO57" s="20">
        <f t="shared" si="22"/>
        <v>35</v>
      </c>
    </row>
    <row r="58" spans="1:41" ht="12.75">
      <c r="A58" s="117">
        <f>ExpDat</f>
        <v>36008</v>
      </c>
      <c r="B58" s="118"/>
      <c r="C58" s="90"/>
      <c r="D58" s="90">
        <f aca="true" t="shared" si="23" ref="D58:D105">IF($A58="","",SUM(F58:AO58))</f>
        <v>25147</v>
      </c>
      <c r="E58" s="118"/>
      <c r="F58" s="90">
        <f aca="true" ca="1" t="shared" si="24" ref="F58:O67">IF($A58="","",IF(OR(F$8&lt;=ROUND(DAYS360(ValDat,$A58,0)/30,0),F$8&gt;ROUND(DAYS360(ExpDat,$A58,0)/30,0)),0,OFFSET(F$45,MAX(-MNR,ROUND(DAYS360(ValDat,$A58,0)/30,0)-F$8+MEP-MNR),0,1,1)))</f>
        <v>25147</v>
      </c>
      <c r="G58" s="90">
        <f ca="1" t="shared" si="24"/>
        <v>0</v>
      </c>
      <c r="H58" s="90">
        <f ca="1" t="shared" si="24"/>
        <v>0</v>
      </c>
      <c r="I58" s="90">
        <f ca="1" t="shared" si="24"/>
        <v>0</v>
      </c>
      <c r="J58" s="90">
        <f ca="1" t="shared" si="24"/>
        <v>0</v>
      </c>
      <c r="K58" s="90">
        <f ca="1" t="shared" si="24"/>
        <v>0</v>
      </c>
      <c r="L58" s="90">
        <f ca="1" t="shared" si="24"/>
        <v>0</v>
      </c>
      <c r="M58" s="90">
        <f ca="1" t="shared" si="24"/>
        <v>0</v>
      </c>
      <c r="N58" s="90">
        <f ca="1" t="shared" si="24"/>
        <v>0</v>
      </c>
      <c r="O58" s="90">
        <f ca="1" t="shared" si="24"/>
        <v>0</v>
      </c>
      <c r="P58" s="90">
        <f aca="true" ca="1" t="shared" si="25" ref="P58:Y67">IF($A58="","",IF(OR(P$8&lt;=ROUND(DAYS360(ValDat,$A58,0)/30,0),P$8&gt;ROUND(DAYS360(ExpDat,$A58,0)/30,0)),0,OFFSET(P$45,MAX(-MNR,ROUND(DAYS360(ValDat,$A58,0)/30,0)-P$8+MEP-MNR),0,1,1)))</f>
        <v>0</v>
      </c>
      <c r="Q58" s="90">
        <f ca="1" t="shared" si="25"/>
        <v>0</v>
      </c>
      <c r="R58" s="90">
        <f ca="1" t="shared" si="25"/>
        <v>0</v>
      </c>
      <c r="S58" s="90">
        <f ca="1" t="shared" si="25"/>
        <v>0</v>
      </c>
      <c r="T58" s="90">
        <f ca="1" t="shared" si="25"/>
        <v>0</v>
      </c>
      <c r="U58" s="90">
        <f ca="1" t="shared" si="25"/>
        <v>0</v>
      </c>
      <c r="V58" s="90">
        <f ca="1" t="shared" si="25"/>
        <v>0</v>
      </c>
      <c r="W58" s="90">
        <f ca="1" t="shared" si="25"/>
        <v>0</v>
      </c>
      <c r="X58" s="90">
        <f ca="1" t="shared" si="25"/>
        <v>0</v>
      </c>
      <c r="Y58" s="90">
        <f ca="1" t="shared" si="25"/>
        <v>0</v>
      </c>
      <c r="Z58" s="90">
        <f aca="true" ca="1" t="shared" si="26" ref="Z58:AI67">IF($A58="","",IF(OR(Z$8&lt;=ROUND(DAYS360(ValDat,$A58,0)/30,0),Z$8&gt;ROUND(DAYS360(ExpDat,$A58,0)/30,0)),0,OFFSET(Z$45,MAX(-MNR,ROUND(DAYS360(ValDat,$A58,0)/30,0)-Z$8+MEP-MNR),0,1,1)))</f>
        <v>0</v>
      </c>
      <c r="AA58" s="90">
        <f ca="1" t="shared" si="26"/>
        <v>0</v>
      </c>
      <c r="AB58" s="90">
        <f ca="1" t="shared" si="26"/>
        <v>0</v>
      </c>
      <c r="AC58" s="90">
        <f ca="1" t="shared" si="26"/>
        <v>0</v>
      </c>
      <c r="AD58" s="90">
        <f ca="1" t="shared" si="26"/>
        <v>0</v>
      </c>
      <c r="AE58" s="90">
        <f ca="1" t="shared" si="26"/>
        <v>0</v>
      </c>
      <c r="AF58" s="90">
        <f ca="1" t="shared" si="26"/>
        <v>0</v>
      </c>
      <c r="AG58" s="90">
        <f ca="1" t="shared" si="26"/>
        <v>0</v>
      </c>
      <c r="AH58" s="90">
        <f ca="1" t="shared" si="26"/>
        <v>0</v>
      </c>
      <c r="AI58" s="90">
        <f ca="1" t="shared" si="26"/>
        <v>0</v>
      </c>
      <c r="AJ58" s="90">
        <f aca="true" ca="1" t="shared" si="27" ref="AJ58:AO67">IF($A58="","",IF(OR(AJ$8&lt;=ROUND(DAYS360(ValDat,$A58,0)/30,0),AJ$8&gt;ROUND(DAYS360(ExpDat,$A58,0)/30,0)),0,OFFSET(AJ$45,MAX(-MNR,ROUND(DAYS360(ValDat,$A58,0)/30,0)-AJ$8+MEP-MNR),0,1,1)))</f>
        <v>0</v>
      </c>
      <c r="AK58" s="90">
        <f ca="1" t="shared" si="27"/>
        <v>0</v>
      </c>
      <c r="AL58" s="90">
        <f ca="1" t="shared" si="27"/>
        <v>0</v>
      </c>
      <c r="AM58" s="90">
        <f ca="1" t="shared" si="27"/>
        <v>0</v>
      </c>
      <c r="AN58" s="90">
        <f ca="1" t="shared" si="27"/>
        <v>0</v>
      </c>
      <c r="AO58" s="91">
        <f ca="1" t="shared" si="27"/>
        <v>0</v>
      </c>
    </row>
    <row r="59" spans="1:41" ht="12.75">
      <c r="A59" s="119">
        <f>IF(A58="","",IF(DATE(YEAR(A58),MONTH(A58)+1,1)&gt;RunDat,"",DATE(YEAR(A58),MONTH(A58)+1,1)))</f>
        <v>36039</v>
      </c>
      <c r="B59" s="120"/>
      <c r="C59" s="92"/>
      <c r="D59" s="92">
        <f t="shared" si="23"/>
        <v>105325</v>
      </c>
      <c r="E59" s="120"/>
      <c r="F59" s="104">
        <f ca="1" t="shared" si="24"/>
        <v>31253</v>
      </c>
      <c r="G59" s="92">
        <f ca="1" t="shared" si="24"/>
        <v>74072</v>
      </c>
      <c r="H59" s="92">
        <f ca="1" t="shared" si="24"/>
        <v>0</v>
      </c>
      <c r="I59" s="92">
        <f ca="1" t="shared" si="24"/>
        <v>0</v>
      </c>
      <c r="J59" s="92">
        <f ca="1" t="shared" si="24"/>
        <v>0</v>
      </c>
      <c r="K59" s="92">
        <f ca="1" t="shared" si="24"/>
        <v>0</v>
      </c>
      <c r="L59" s="92">
        <f ca="1" t="shared" si="24"/>
        <v>0</v>
      </c>
      <c r="M59" s="92">
        <f ca="1" t="shared" si="24"/>
        <v>0</v>
      </c>
      <c r="N59" s="92">
        <f ca="1" t="shared" si="24"/>
        <v>0</v>
      </c>
      <c r="O59" s="92">
        <f ca="1" t="shared" si="24"/>
        <v>0</v>
      </c>
      <c r="P59" s="92">
        <f ca="1" t="shared" si="25"/>
        <v>0</v>
      </c>
      <c r="Q59" s="92">
        <f ca="1" t="shared" si="25"/>
        <v>0</v>
      </c>
      <c r="R59" s="92">
        <f ca="1" t="shared" si="25"/>
        <v>0</v>
      </c>
      <c r="S59" s="92">
        <f ca="1" t="shared" si="25"/>
        <v>0</v>
      </c>
      <c r="T59" s="92">
        <f ca="1" t="shared" si="25"/>
        <v>0</v>
      </c>
      <c r="U59" s="92">
        <f ca="1" t="shared" si="25"/>
        <v>0</v>
      </c>
      <c r="V59" s="92">
        <f ca="1" t="shared" si="25"/>
        <v>0</v>
      </c>
      <c r="W59" s="92">
        <f ca="1" t="shared" si="25"/>
        <v>0</v>
      </c>
      <c r="X59" s="92">
        <f ca="1" t="shared" si="25"/>
        <v>0</v>
      </c>
      <c r="Y59" s="92">
        <f ca="1" t="shared" si="25"/>
        <v>0</v>
      </c>
      <c r="Z59" s="92">
        <f ca="1" t="shared" si="26"/>
        <v>0</v>
      </c>
      <c r="AA59" s="92">
        <f ca="1" t="shared" si="26"/>
        <v>0</v>
      </c>
      <c r="AB59" s="92">
        <f ca="1" t="shared" si="26"/>
        <v>0</v>
      </c>
      <c r="AC59" s="92">
        <f ca="1" t="shared" si="26"/>
        <v>0</v>
      </c>
      <c r="AD59" s="92">
        <f ca="1" t="shared" si="26"/>
        <v>0</v>
      </c>
      <c r="AE59" s="92">
        <f ca="1" t="shared" si="26"/>
        <v>0</v>
      </c>
      <c r="AF59" s="92">
        <f ca="1" t="shared" si="26"/>
        <v>0</v>
      </c>
      <c r="AG59" s="92">
        <f ca="1" t="shared" si="26"/>
        <v>0</v>
      </c>
      <c r="AH59" s="92">
        <f ca="1" t="shared" si="26"/>
        <v>0</v>
      </c>
      <c r="AI59" s="92">
        <f ca="1" t="shared" si="26"/>
        <v>0</v>
      </c>
      <c r="AJ59" s="92">
        <f ca="1" t="shared" si="27"/>
        <v>0</v>
      </c>
      <c r="AK59" s="92">
        <f ca="1" t="shared" si="27"/>
        <v>0</v>
      </c>
      <c r="AL59" s="92">
        <f ca="1" t="shared" si="27"/>
        <v>0</v>
      </c>
      <c r="AM59" s="92">
        <f ca="1" t="shared" si="27"/>
        <v>0</v>
      </c>
      <c r="AN59" s="92">
        <f ca="1" t="shared" si="27"/>
        <v>0</v>
      </c>
      <c r="AO59" s="93">
        <f ca="1" t="shared" si="27"/>
        <v>0</v>
      </c>
    </row>
    <row r="60" spans="1:41" ht="12.75">
      <c r="A60" s="119">
        <f aca="true" t="shared" si="28" ref="A60:A105">IF(A59="","",IF(DATE(YEAR(A59),MONTH(A59)+1,1)&gt;RunDat,"",DATE(YEAR(A59),MONTH(A59)+1,1)))</f>
        <v>36069</v>
      </c>
      <c r="B60" s="120"/>
      <c r="C60" s="92"/>
      <c r="D60" s="92">
        <f t="shared" si="23"/>
        <v>98152</v>
      </c>
      <c r="E60" s="120"/>
      <c r="F60" s="92">
        <f ca="1" t="shared" si="24"/>
        <v>30186</v>
      </c>
      <c r="G60" s="92">
        <f ca="1" t="shared" si="24"/>
        <v>67966</v>
      </c>
      <c r="H60" s="92">
        <f ca="1" t="shared" si="24"/>
        <v>0</v>
      </c>
      <c r="I60" s="92">
        <f ca="1" t="shared" si="24"/>
        <v>0</v>
      </c>
      <c r="J60" s="92">
        <f ca="1" t="shared" si="24"/>
        <v>0</v>
      </c>
      <c r="K60" s="92">
        <f ca="1" t="shared" si="24"/>
        <v>0</v>
      </c>
      <c r="L60" s="92">
        <f ca="1" t="shared" si="24"/>
        <v>0</v>
      </c>
      <c r="M60" s="92">
        <f ca="1" t="shared" si="24"/>
        <v>0</v>
      </c>
      <c r="N60" s="92">
        <f ca="1" t="shared" si="24"/>
        <v>0</v>
      </c>
      <c r="O60" s="92">
        <f ca="1" t="shared" si="24"/>
        <v>0</v>
      </c>
      <c r="P60" s="92">
        <f ca="1" t="shared" si="25"/>
        <v>0</v>
      </c>
      <c r="Q60" s="92">
        <f ca="1" t="shared" si="25"/>
        <v>0</v>
      </c>
      <c r="R60" s="92">
        <f ca="1" t="shared" si="25"/>
        <v>0</v>
      </c>
      <c r="S60" s="92">
        <f ca="1" t="shared" si="25"/>
        <v>0</v>
      </c>
      <c r="T60" s="92">
        <f ca="1" t="shared" si="25"/>
        <v>0</v>
      </c>
      <c r="U60" s="92">
        <f ca="1" t="shared" si="25"/>
        <v>0</v>
      </c>
      <c r="V60" s="92">
        <f ca="1" t="shared" si="25"/>
        <v>0</v>
      </c>
      <c r="W60" s="92">
        <f ca="1" t="shared" si="25"/>
        <v>0</v>
      </c>
      <c r="X60" s="92">
        <f ca="1" t="shared" si="25"/>
        <v>0</v>
      </c>
      <c r="Y60" s="92">
        <f ca="1" t="shared" si="25"/>
        <v>0</v>
      </c>
      <c r="Z60" s="92">
        <f ca="1" t="shared" si="26"/>
        <v>0</v>
      </c>
      <c r="AA60" s="92">
        <f ca="1" t="shared" si="26"/>
        <v>0</v>
      </c>
      <c r="AB60" s="92">
        <f ca="1" t="shared" si="26"/>
        <v>0</v>
      </c>
      <c r="AC60" s="92">
        <f ca="1" t="shared" si="26"/>
        <v>0</v>
      </c>
      <c r="AD60" s="92">
        <f ca="1" t="shared" si="26"/>
        <v>0</v>
      </c>
      <c r="AE60" s="92">
        <f ca="1" t="shared" si="26"/>
        <v>0</v>
      </c>
      <c r="AF60" s="92">
        <f ca="1" t="shared" si="26"/>
        <v>0</v>
      </c>
      <c r="AG60" s="92">
        <f ca="1" t="shared" si="26"/>
        <v>0</v>
      </c>
      <c r="AH60" s="92">
        <f ca="1" t="shared" si="26"/>
        <v>0</v>
      </c>
      <c r="AI60" s="92">
        <f ca="1" t="shared" si="26"/>
        <v>0</v>
      </c>
      <c r="AJ60" s="92">
        <f ca="1" t="shared" si="27"/>
        <v>0</v>
      </c>
      <c r="AK60" s="92">
        <f ca="1" t="shared" si="27"/>
        <v>0</v>
      </c>
      <c r="AL60" s="92">
        <f ca="1" t="shared" si="27"/>
        <v>0</v>
      </c>
      <c r="AM60" s="92">
        <f ca="1" t="shared" si="27"/>
        <v>0</v>
      </c>
      <c r="AN60" s="92">
        <f ca="1" t="shared" si="27"/>
        <v>0</v>
      </c>
      <c r="AO60" s="93">
        <f ca="1" t="shared" si="27"/>
        <v>0</v>
      </c>
    </row>
    <row r="61" spans="1:41" ht="12.75">
      <c r="A61" s="119">
        <f t="shared" si="28"/>
        <v>36100</v>
      </c>
      <c r="B61" s="120"/>
      <c r="C61" s="92"/>
      <c r="D61" s="92">
        <f t="shared" si="23"/>
        <v>207773</v>
      </c>
      <c r="E61" s="120"/>
      <c r="F61" s="92">
        <f ca="1" t="shared" si="24"/>
        <v>49927</v>
      </c>
      <c r="G61" s="92">
        <f ca="1" t="shared" si="24"/>
        <v>157846</v>
      </c>
      <c r="H61" s="92">
        <f ca="1" t="shared" si="24"/>
        <v>0</v>
      </c>
      <c r="I61" s="92">
        <f ca="1" t="shared" si="24"/>
        <v>0</v>
      </c>
      <c r="J61" s="92">
        <f ca="1" t="shared" si="24"/>
        <v>0</v>
      </c>
      <c r="K61" s="92">
        <f ca="1" t="shared" si="24"/>
        <v>0</v>
      </c>
      <c r="L61" s="92">
        <f ca="1" t="shared" si="24"/>
        <v>0</v>
      </c>
      <c r="M61" s="92">
        <f ca="1" t="shared" si="24"/>
        <v>0</v>
      </c>
      <c r="N61" s="92">
        <f ca="1" t="shared" si="24"/>
        <v>0</v>
      </c>
      <c r="O61" s="92">
        <f ca="1" t="shared" si="24"/>
        <v>0</v>
      </c>
      <c r="P61" s="92">
        <f ca="1" t="shared" si="25"/>
        <v>0</v>
      </c>
      <c r="Q61" s="92">
        <f ca="1" t="shared" si="25"/>
        <v>0</v>
      </c>
      <c r="R61" s="92">
        <f ca="1" t="shared" si="25"/>
        <v>0</v>
      </c>
      <c r="S61" s="92">
        <f ca="1" t="shared" si="25"/>
        <v>0</v>
      </c>
      <c r="T61" s="92">
        <f ca="1" t="shared" si="25"/>
        <v>0</v>
      </c>
      <c r="U61" s="92">
        <f ca="1" t="shared" si="25"/>
        <v>0</v>
      </c>
      <c r="V61" s="92">
        <f ca="1" t="shared" si="25"/>
        <v>0</v>
      </c>
      <c r="W61" s="92">
        <f ca="1" t="shared" si="25"/>
        <v>0</v>
      </c>
      <c r="X61" s="92">
        <f ca="1" t="shared" si="25"/>
        <v>0</v>
      </c>
      <c r="Y61" s="92">
        <f ca="1" t="shared" si="25"/>
        <v>0</v>
      </c>
      <c r="Z61" s="92">
        <f ca="1" t="shared" si="26"/>
        <v>0</v>
      </c>
      <c r="AA61" s="92">
        <f ca="1" t="shared" si="26"/>
        <v>0</v>
      </c>
      <c r="AB61" s="92">
        <f ca="1" t="shared" si="26"/>
        <v>0</v>
      </c>
      <c r="AC61" s="92">
        <f ca="1" t="shared" si="26"/>
        <v>0</v>
      </c>
      <c r="AD61" s="92">
        <f ca="1" t="shared" si="26"/>
        <v>0</v>
      </c>
      <c r="AE61" s="92">
        <f ca="1" t="shared" si="26"/>
        <v>0</v>
      </c>
      <c r="AF61" s="92">
        <f ca="1" t="shared" si="26"/>
        <v>0</v>
      </c>
      <c r="AG61" s="92">
        <f ca="1" t="shared" si="26"/>
        <v>0</v>
      </c>
      <c r="AH61" s="92">
        <f ca="1" t="shared" si="26"/>
        <v>0</v>
      </c>
      <c r="AI61" s="92">
        <f ca="1" t="shared" si="26"/>
        <v>0</v>
      </c>
      <c r="AJ61" s="92">
        <f ca="1" t="shared" si="27"/>
        <v>0</v>
      </c>
      <c r="AK61" s="92">
        <f ca="1" t="shared" si="27"/>
        <v>0</v>
      </c>
      <c r="AL61" s="92">
        <f ca="1" t="shared" si="27"/>
        <v>0</v>
      </c>
      <c r="AM61" s="92">
        <f ca="1" t="shared" si="27"/>
        <v>0</v>
      </c>
      <c r="AN61" s="92">
        <f ca="1" t="shared" si="27"/>
        <v>0</v>
      </c>
      <c r="AO61" s="93">
        <f ca="1" t="shared" si="27"/>
        <v>0</v>
      </c>
    </row>
    <row r="62" spans="1:41" ht="12.75">
      <c r="A62" s="119">
        <f t="shared" si="28"/>
        <v>36130</v>
      </c>
      <c r="B62" s="120"/>
      <c r="C62" s="121"/>
      <c r="D62" s="92">
        <f t="shared" si="23"/>
        <v>200876</v>
      </c>
      <c r="E62" s="120"/>
      <c r="F62" s="92">
        <f ca="1" t="shared" si="24"/>
        <v>6022</v>
      </c>
      <c r="G62" s="92">
        <f ca="1" t="shared" si="24"/>
        <v>140535</v>
      </c>
      <c r="H62" s="92">
        <f ca="1" t="shared" si="24"/>
        <v>54319</v>
      </c>
      <c r="I62" s="92">
        <f ca="1" t="shared" si="24"/>
        <v>0</v>
      </c>
      <c r="J62" s="92">
        <f ca="1" t="shared" si="24"/>
        <v>0</v>
      </c>
      <c r="K62" s="92">
        <f ca="1" t="shared" si="24"/>
        <v>0</v>
      </c>
      <c r="L62" s="92">
        <f ca="1" t="shared" si="24"/>
        <v>0</v>
      </c>
      <c r="M62" s="92">
        <f ca="1" t="shared" si="24"/>
        <v>0</v>
      </c>
      <c r="N62" s="92">
        <f ca="1" t="shared" si="24"/>
        <v>0</v>
      </c>
      <c r="O62" s="92">
        <f ca="1" t="shared" si="24"/>
        <v>0</v>
      </c>
      <c r="P62" s="92">
        <f ca="1" t="shared" si="25"/>
        <v>0</v>
      </c>
      <c r="Q62" s="92">
        <f ca="1" t="shared" si="25"/>
        <v>0</v>
      </c>
      <c r="R62" s="92">
        <f ca="1" t="shared" si="25"/>
        <v>0</v>
      </c>
      <c r="S62" s="92">
        <f ca="1" t="shared" si="25"/>
        <v>0</v>
      </c>
      <c r="T62" s="92">
        <f ca="1" t="shared" si="25"/>
        <v>0</v>
      </c>
      <c r="U62" s="92">
        <f ca="1" t="shared" si="25"/>
        <v>0</v>
      </c>
      <c r="V62" s="92">
        <f ca="1" t="shared" si="25"/>
        <v>0</v>
      </c>
      <c r="W62" s="92">
        <f ca="1" t="shared" si="25"/>
        <v>0</v>
      </c>
      <c r="X62" s="92">
        <f ca="1" t="shared" si="25"/>
        <v>0</v>
      </c>
      <c r="Y62" s="92">
        <f ca="1" t="shared" si="25"/>
        <v>0</v>
      </c>
      <c r="Z62" s="92">
        <f ca="1" t="shared" si="26"/>
        <v>0</v>
      </c>
      <c r="AA62" s="92">
        <f ca="1" t="shared" si="26"/>
        <v>0</v>
      </c>
      <c r="AB62" s="92">
        <f ca="1" t="shared" si="26"/>
        <v>0</v>
      </c>
      <c r="AC62" s="92">
        <f ca="1" t="shared" si="26"/>
        <v>0</v>
      </c>
      <c r="AD62" s="92">
        <f ca="1" t="shared" si="26"/>
        <v>0</v>
      </c>
      <c r="AE62" s="92">
        <f ca="1" t="shared" si="26"/>
        <v>0</v>
      </c>
      <c r="AF62" s="92">
        <f ca="1" t="shared" si="26"/>
        <v>0</v>
      </c>
      <c r="AG62" s="92">
        <f ca="1" t="shared" si="26"/>
        <v>0</v>
      </c>
      <c r="AH62" s="92">
        <f ca="1" t="shared" si="26"/>
        <v>0</v>
      </c>
      <c r="AI62" s="92">
        <f ca="1" t="shared" si="26"/>
        <v>0</v>
      </c>
      <c r="AJ62" s="92">
        <f ca="1" t="shared" si="27"/>
        <v>0</v>
      </c>
      <c r="AK62" s="92">
        <f ca="1" t="shared" si="27"/>
        <v>0</v>
      </c>
      <c r="AL62" s="92">
        <f ca="1" t="shared" si="27"/>
        <v>0</v>
      </c>
      <c r="AM62" s="92">
        <f ca="1" t="shared" si="27"/>
        <v>0</v>
      </c>
      <c r="AN62" s="92">
        <f ca="1" t="shared" si="27"/>
        <v>0</v>
      </c>
      <c r="AO62" s="93">
        <f ca="1" t="shared" si="27"/>
        <v>0</v>
      </c>
    </row>
    <row r="63" spans="1:41" ht="12.75">
      <c r="A63" s="119">
        <f t="shared" si="28"/>
        <v>36161</v>
      </c>
      <c r="B63" s="120"/>
      <c r="C63" s="121"/>
      <c r="D63" s="92">
        <f t="shared" si="23"/>
        <v>188191</v>
      </c>
      <c r="E63" s="120"/>
      <c r="F63" s="92">
        <f ca="1" t="shared" si="24"/>
        <v>31494</v>
      </c>
      <c r="G63" s="92">
        <f ca="1" t="shared" si="24"/>
        <v>55145</v>
      </c>
      <c r="H63" s="92">
        <f ca="1" t="shared" si="24"/>
        <v>51889</v>
      </c>
      <c r="I63" s="92">
        <f ca="1" t="shared" si="24"/>
        <v>49663</v>
      </c>
      <c r="J63" s="92">
        <f ca="1" t="shared" si="24"/>
        <v>0</v>
      </c>
      <c r="K63" s="92">
        <f ca="1" t="shared" si="24"/>
        <v>0</v>
      </c>
      <c r="L63" s="92">
        <f ca="1" t="shared" si="24"/>
        <v>0</v>
      </c>
      <c r="M63" s="92">
        <f ca="1" t="shared" si="24"/>
        <v>0</v>
      </c>
      <c r="N63" s="92">
        <f ca="1" t="shared" si="24"/>
        <v>0</v>
      </c>
      <c r="O63" s="92">
        <f ca="1" t="shared" si="24"/>
        <v>0</v>
      </c>
      <c r="P63" s="92">
        <f ca="1" t="shared" si="25"/>
        <v>0</v>
      </c>
      <c r="Q63" s="92">
        <f ca="1" t="shared" si="25"/>
        <v>0</v>
      </c>
      <c r="R63" s="92">
        <f ca="1" t="shared" si="25"/>
        <v>0</v>
      </c>
      <c r="S63" s="92">
        <f ca="1" t="shared" si="25"/>
        <v>0</v>
      </c>
      <c r="T63" s="92">
        <f ca="1" t="shared" si="25"/>
        <v>0</v>
      </c>
      <c r="U63" s="92">
        <f ca="1" t="shared" si="25"/>
        <v>0</v>
      </c>
      <c r="V63" s="92">
        <f ca="1" t="shared" si="25"/>
        <v>0</v>
      </c>
      <c r="W63" s="92">
        <f ca="1" t="shared" si="25"/>
        <v>0</v>
      </c>
      <c r="X63" s="92">
        <f ca="1" t="shared" si="25"/>
        <v>0</v>
      </c>
      <c r="Y63" s="92">
        <f ca="1" t="shared" si="25"/>
        <v>0</v>
      </c>
      <c r="Z63" s="92">
        <f ca="1" t="shared" si="26"/>
        <v>0</v>
      </c>
      <c r="AA63" s="92">
        <f ca="1" t="shared" si="26"/>
        <v>0</v>
      </c>
      <c r="AB63" s="92">
        <f ca="1" t="shared" si="26"/>
        <v>0</v>
      </c>
      <c r="AC63" s="92">
        <f ca="1" t="shared" si="26"/>
        <v>0</v>
      </c>
      <c r="AD63" s="92">
        <f ca="1" t="shared" si="26"/>
        <v>0</v>
      </c>
      <c r="AE63" s="92">
        <f ca="1" t="shared" si="26"/>
        <v>0</v>
      </c>
      <c r="AF63" s="92">
        <f ca="1" t="shared" si="26"/>
        <v>0</v>
      </c>
      <c r="AG63" s="92">
        <f ca="1" t="shared" si="26"/>
        <v>0</v>
      </c>
      <c r="AH63" s="92">
        <f ca="1" t="shared" si="26"/>
        <v>0</v>
      </c>
      <c r="AI63" s="92">
        <f ca="1" t="shared" si="26"/>
        <v>0</v>
      </c>
      <c r="AJ63" s="92">
        <f ca="1" t="shared" si="27"/>
        <v>0</v>
      </c>
      <c r="AK63" s="92">
        <f ca="1" t="shared" si="27"/>
        <v>0</v>
      </c>
      <c r="AL63" s="92">
        <f ca="1" t="shared" si="27"/>
        <v>0</v>
      </c>
      <c r="AM63" s="92">
        <f ca="1" t="shared" si="27"/>
        <v>0</v>
      </c>
      <c r="AN63" s="92">
        <f ca="1" t="shared" si="27"/>
        <v>0</v>
      </c>
      <c r="AO63" s="93">
        <f ca="1" t="shared" si="27"/>
        <v>0</v>
      </c>
    </row>
    <row r="64" spans="1:41" ht="12.75">
      <c r="A64" s="119">
        <f t="shared" si="28"/>
        <v>36192</v>
      </c>
      <c r="B64" s="120"/>
      <c r="C64" s="121"/>
      <c r="D64" s="92">
        <f t="shared" si="23"/>
        <v>120546</v>
      </c>
      <c r="E64" s="120"/>
      <c r="F64" s="92">
        <f ca="1" t="shared" si="24"/>
        <v>13659</v>
      </c>
      <c r="G64" s="92">
        <f ca="1" t="shared" si="24"/>
        <v>39304</v>
      </c>
      <c r="H64" s="92">
        <f ca="1" t="shared" si="24"/>
        <v>17920</v>
      </c>
      <c r="I64" s="92">
        <f ca="1" t="shared" si="24"/>
        <v>49663</v>
      </c>
      <c r="J64" s="92">
        <f ca="1" t="shared" si="24"/>
        <v>0</v>
      </c>
      <c r="K64" s="92">
        <f ca="1" t="shared" si="24"/>
        <v>0</v>
      </c>
      <c r="L64" s="92">
        <f ca="1" t="shared" si="24"/>
        <v>0</v>
      </c>
      <c r="M64" s="92">
        <f ca="1" t="shared" si="24"/>
        <v>0</v>
      </c>
      <c r="N64" s="92">
        <f ca="1" t="shared" si="24"/>
        <v>0</v>
      </c>
      <c r="O64" s="92">
        <f ca="1" t="shared" si="24"/>
        <v>0</v>
      </c>
      <c r="P64" s="92">
        <f ca="1" t="shared" si="25"/>
        <v>0</v>
      </c>
      <c r="Q64" s="92">
        <f ca="1" t="shared" si="25"/>
        <v>0</v>
      </c>
      <c r="R64" s="92">
        <f ca="1" t="shared" si="25"/>
        <v>0</v>
      </c>
      <c r="S64" s="92">
        <f ca="1" t="shared" si="25"/>
        <v>0</v>
      </c>
      <c r="T64" s="92">
        <f ca="1" t="shared" si="25"/>
        <v>0</v>
      </c>
      <c r="U64" s="92">
        <f ca="1" t="shared" si="25"/>
        <v>0</v>
      </c>
      <c r="V64" s="92">
        <f ca="1" t="shared" si="25"/>
        <v>0</v>
      </c>
      <c r="W64" s="92">
        <f ca="1" t="shared" si="25"/>
        <v>0</v>
      </c>
      <c r="X64" s="92">
        <f ca="1" t="shared" si="25"/>
        <v>0</v>
      </c>
      <c r="Y64" s="92">
        <f ca="1" t="shared" si="25"/>
        <v>0</v>
      </c>
      <c r="Z64" s="92">
        <f ca="1" t="shared" si="26"/>
        <v>0</v>
      </c>
      <c r="AA64" s="92">
        <f ca="1" t="shared" si="26"/>
        <v>0</v>
      </c>
      <c r="AB64" s="92">
        <f ca="1" t="shared" si="26"/>
        <v>0</v>
      </c>
      <c r="AC64" s="92">
        <f ca="1" t="shared" si="26"/>
        <v>0</v>
      </c>
      <c r="AD64" s="92">
        <f ca="1" t="shared" si="26"/>
        <v>0</v>
      </c>
      <c r="AE64" s="92">
        <f ca="1" t="shared" si="26"/>
        <v>0</v>
      </c>
      <c r="AF64" s="92">
        <f ca="1" t="shared" si="26"/>
        <v>0</v>
      </c>
      <c r="AG64" s="92">
        <f ca="1" t="shared" si="26"/>
        <v>0</v>
      </c>
      <c r="AH64" s="92">
        <f ca="1" t="shared" si="26"/>
        <v>0</v>
      </c>
      <c r="AI64" s="92">
        <f ca="1" t="shared" si="26"/>
        <v>0</v>
      </c>
      <c r="AJ64" s="92">
        <f ca="1" t="shared" si="27"/>
        <v>0</v>
      </c>
      <c r="AK64" s="92">
        <f ca="1" t="shared" si="27"/>
        <v>0</v>
      </c>
      <c r="AL64" s="92">
        <f ca="1" t="shared" si="27"/>
        <v>0</v>
      </c>
      <c r="AM64" s="92">
        <f ca="1" t="shared" si="27"/>
        <v>0</v>
      </c>
      <c r="AN64" s="92">
        <f ca="1" t="shared" si="27"/>
        <v>0</v>
      </c>
      <c r="AO64" s="93">
        <f ca="1" t="shared" si="27"/>
        <v>0</v>
      </c>
    </row>
    <row r="65" spans="1:41" ht="12.75">
      <c r="A65" s="119">
        <f t="shared" si="28"/>
        <v>36220</v>
      </c>
      <c r="B65" s="120"/>
      <c r="C65" s="121"/>
      <c r="D65" s="92">
        <f t="shared" si="23"/>
        <v>188587</v>
      </c>
      <c r="E65" s="120"/>
      <c r="F65" s="92">
        <f ca="1" t="shared" si="24"/>
        <v>57935</v>
      </c>
      <c r="G65" s="92">
        <f ca="1" t="shared" si="24"/>
        <v>80920</v>
      </c>
      <c r="H65" s="92">
        <f ca="1" t="shared" si="24"/>
        <v>24477</v>
      </c>
      <c r="I65" s="92">
        <f ca="1" t="shared" si="24"/>
        <v>25255</v>
      </c>
      <c r="J65" s="92">
        <f ca="1" t="shared" si="24"/>
        <v>0</v>
      </c>
      <c r="K65" s="92">
        <f ca="1" t="shared" si="24"/>
        <v>0</v>
      </c>
      <c r="L65" s="92">
        <f ca="1" t="shared" si="24"/>
        <v>0</v>
      </c>
      <c r="M65" s="92">
        <f ca="1" t="shared" si="24"/>
        <v>0</v>
      </c>
      <c r="N65" s="92">
        <f ca="1" t="shared" si="24"/>
        <v>0</v>
      </c>
      <c r="O65" s="92">
        <f ca="1" t="shared" si="24"/>
        <v>0</v>
      </c>
      <c r="P65" s="92">
        <f ca="1" t="shared" si="25"/>
        <v>0</v>
      </c>
      <c r="Q65" s="92">
        <f ca="1" t="shared" si="25"/>
        <v>0</v>
      </c>
      <c r="R65" s="92">
        <f ca="1" t="shared" si="25"/>
        <v>0</v>
      </c>
      <c r="S65" s="92">
        <f ca="1" t="shared" si="25"/>
        <v>0</v>
      </c>
      <c r="T65" s="92">
        <f ca="1" t="shared" si="25"/>
        <v>0</v>
      </c>
      <c r="U65" s="92">
        <f ca="1" t="shared" si="25"/>
        <v>0</v>
      </c>
      <c r="V65" s="92">
        <f ca="1" t="shared" si="25"/>
        <v>0</v>
      </c>
      <c r="W65" s="92">
        <f ca="1" t="shared" si="25"/>
        <v>0</v>
      </c>
      <c r="X65" s="92">
        <f ca="1" t="shared" si="25"/>
        <v>0</v>
      </c>
      <c r="Y65" s="92">
        <f ca="1" t="shared" si="25"/>
        <v>0</v>
      </c>
      <c r="Z65" s="92">
        <f ca="1" t="shared" si="26"/>
        <v>0</v>
      </c>
      <c r="AA65" s="92">
        <f ca="1" t="shared" si="26"/>
        <v>0</v>
      </c>
      <c r="AB65" s="92">
        <f ca="1" t="shared" si="26"/>
        <v>0</v>
      </c>
      <c r="AC65" s="92">
        <f ca="1" t="shared" si="26"/>
        <v>0</v>
      </c>
      <c r="AD65" s="92">
        <f ca="1" t="shared" si="26"/>
        <v>0</v>
      </c>
      <c r="AE65" s="92">
        <f ca="1" t="shared" si="26"/>
        <v>0</v>
      </c>
      <c r="AF65" s="92">
        <f ca="1" t="shared" si="26"/>
        <v>0</v>
      </c>
      <c r="AG65" s="92">
        <f ca="1" t="shared" si="26"/>
        <v>0</v>
      </c>
      <c r="AH65" s="92">
        <f ca="1" t="shared" si="26"/>
        <v>0</v>
      </c>
      <c r="AI65" s="92">
        <f ca="1" t="shared" si="26"/>
        <v>0</v>
      </c>
      <c r="AJ65" s="92">
        <f ca="1" t="shared" si="27"/>
        <v>0</v>
      </c>
      <c r="AK65" s="92">
        <f ca="1" t="shared" si="27"/>
        <v>0</v>
      </c>
      <c r="AL65" s="92">
        <f ca="1" t="shared" si="27"/>
        <v>0</v>
      </c>
      <c r="AM65" s="92">
        <f ca="1" t="shared" si="27"/>
        <v>0</v>
      </c>
      <c r="AN65" s="92">
        <f ca="1" t="shared" si="27"/>
        <v>0</v>
      </c>
      <c r="AO65" s="93">
        <f ca="1" t="shared" si="27"/>
        <v>0</v>
      </c>
    </row>
    <row r="66" spans="1:41" ht="12.75">
      <c r="A66" s="119">
        <f t="shared" si="28"/>
        <v>36251</v>
      </c>
      <c r="B66" s="120"/>
      <c r="C66" s="121"/>
      <c r="D66" s="92">
        <f t="shared" si="23"/>
        <v>140778</v>
      </c>
      <c r="E66" s="120"/>
      <c r="F66" s="92">
        <f ca="1" t="shared" si="24"/>
        <v>16933</v>
      </c>
      <c r="G66" s="92">
        <f ca="1" t="shared" si="24"/>
        <v>68120</v>
      </c>
      <c r="H66" s="92">
        <f ca="1" t="shared" si="24"/>
        <v>40769</v>
      </c>
      <c r="I66" s="92">
        <f ca="1" t="shared" si="24"/>
        <v>9937</v>
      </c>
      <c r="J66" s="92">
        <f ca="1" t="shared" si="24"/>
        <v>5019</v>
      </c>
      <c r="K66" s="92">
        <f ca="1" t="shared" si="24"/>
        <v>0</v>
      </c>
      <c r="L66" s="92">
        <f ca="1" t="shared" si="24"/>
        <v>0</v>
      </c>
      <c r="M66" s="92">
        <f ca="1" t="shared" si="24"/>
        <v>0</v>
      </c>
      <c r="N66" s="92">
        <f ca="1" t="shared" si="24"/>
        <v>0</v>
      </c>
      <c r="O66" s="92">
        <f ca="1" t="shared" si="24"/>
        <v>0</v>
      </c>
      <c r="P66" s="92">
        <f ca="1" t="shared" si="25"/>
        <v>0</v>
      </c>
      <c r="Q66" s="92">
        <f ca="1" t="shared" si="25"/>
        <v>0</v>
      </c>
      <c r="R66" s="92">
        <f ca="1" t="shared" si="25"/>
        <v>0</v>
      </c>
      <c r="S66" s="92">
        <f ca="1" t="shared" si="25"/>
        <v>0</v>
      </c>
      <c r="T66" s="92">
        <f ca="1" t="shared" si="25"/>
        <v>0</v>
      </c>
      <c r="U66" s="92">
        <f ca="1" t="shared" si="25"/>
        <v>0</v>
      </c>
      <c r="V66" s="92">
        <f ca="1" t="shared" si="25"/>
        <v>0</v>
      </c>
      <c r="W66" s="92">
        <f ca="1" t="shared" si="25"/>
        <v>0</v>
      </c>
      <c r="X66" s="92">
        <f ca="1" t="shared" si="25"/>
        <v>0</v>
      </c>
      <c r="Y66" s="92">
        <f ca="1" t="shared" si="25"/>
        <v>0</v>
      </c>
      <c r="Z66" s="92">
        <f ca="1" t="shared" si="26"/>
        <v>0</v>
      </c>
      <c r="AA66" s="92">
        <f ca="1" t="shared" si="26"/>
        <v>0</v>
      </c>
      <c r="AB66" s="92">
        <f ca="1" t="shared" si="26"/>
        <v>0</v>
      </c>
      <c r="AC66" s="92">
        <f ca="1" t="shared" si="26"/>
        <v>0</v>
      </c>
      <c r="AD66" s="92">
        <f ca="1" t="shared" si="26"/>
        <v>0</v>
      </c>
      <c r="AE66" s="92">
        <f ca="1" t="shared" si="26"/>
        <v>0</v>
      </c>
      <c r="AF66" s="92">
        <f ca="1" t="shared" si="26"/>
        <v>0</v>
      </c>
      <c r="AG66" s="92">
        <f ca="1" t="shared" si="26"/>
        <v>0</v>
      </c>
      <c r="AH66" s="92">
        <f ca="1" t="shared" si="26"/>
        <v>0</v>
      </c>
      <c r="AI66" s="92">
        <f ca="1" t="shared" si="26"/>
        <v>0</v>
      </c>
      <c r="AJ66" s="92">
        <f ca="1" t="shared" si="27"/>
        <v>0</v>
      </c>
      <c r="AK66" s="92">
        <f ca="1" t="shared" si="27"/>
        <v>0</v>
      </c>
      <c r="AL66" s="92">
        <f ca="1" t="shared" si="27"/>
        <v>0</v>
      </c>
      <c r="AM66" s="92">
        <f ca="1" t="shared" si="27"/>
        <v>0</v>
      </c>
      <c r="AN66" s="92">
        <f ca="1" t="shared" si="27"/>
        <v>0</v>
      </c>
      <c r="AO66" s="93">
        <f ca="1" t="shared" si="27"/>
        <v>0</v>
      </c>
    </row>
    <row r="67" spans="1:41" ht="12.75">
      <c r="A67" s="119">
        <f t="shared" si="28"/>
        <v>36281</v>
      </c>
      <c r="B67" s="120"/>
      <c r="C67" s="121"/>
      <c r="D67" s="92">
        <f t="shared" si="23"/>
        <v>134129</v>
      </c>
      <c r="E67" s="120"/>
      <c r="F67" s="92">
        <f ca="1" t="shared" si="24"/>
        <v>36127</v>
      </c>
      <c r="G67" s="92">
        <f ca="1" t="shared" si="24"/>
        <v>64705</v>
      </c>
      <c r="H67" s="92">
        <f ca="1" t="shared" si="24"/>
        <v>13660</v>
      </c>
      <c r="I67" s="92">
        <f ca="1" t="shared" si="24"/>
        <v>15086</v>
      </c>
      <c r="J67" s="92">
        <f ca="1" t="shared" si="24"/>
        <v>4149</v>
      </c>
      <c r="K67" s="92">
        <f ca="1" t="shared" si="24"/>
        <v>402</v>
      </c>
      <c r="L67" s="92">
        <f ca="1" t="shared" si="24"/>
        <v>0</v>
      </c>
      <c r="M67" s="92">
        <f ca="1" t="shared" si="24"/>
        <v>0</v>
      </c>
      <c r="N67" s="92">
        <f ca="1" t="shared" si="24"/>
        <v>0</v>
      </c>
      <c r="O67" s="92">
        <f ca="1" t="shared" si="24"/>
        <v>0</v>
      </c>
      <c r="P67" s="92">
        <f ca="1" t="shared" si="25"/>
        <v>0</v>
      </c>
      <c r="Q67" s="92">
        <f ca="1" t="shared" si="25"/>
        <v>0</v>
      </c>
      <c r="R67" s="92">
        <f ca="1" t="shared" si="25"/>
        <v>0</v>
      </c>
      <c r="S67" s="92">
        <f ca="1" t="shared" si="25"/>
        <v>0</v>
      </c>
      <c r="T67" s="92">
        <f ca="1" t="shared" si="25"/>
        <v>0</v>
      </c>
      <c r="U67" s="92">
        <f ca="1" t="shared" si="25"/>
        <v>0</v>
      </c>
      <c r="V67" s="92">
        <f ca="1" t="shared" si="25"/>
        <v>0</v>
      </c>
      <c r="W67" s="92">
        <f ca="1" t="shared" si="25"/>
        <v>0</v>
      </c>
      <c r="X67" s="92">
        <f ca="1" t="shared" si="25"/>
        <v>0</v>
      </c>
      <c r="Y67" s="92">
        <f ca="1" t="shared" si="25"/>
        <v>0</v>
      </c>
      <c r="Z67" s="92">
        <f ca="1" t="shared" si="26"/>
        <v>0</v>
      </c>
      <c r="AA67" s="92">
        <f ca="1" t="shared" si="26"/>
        <v>0</v>
      </c>
      <c r="AB67" s="92">
        <f ca="1" t="shared" si="26"/>
        <v>0</v>
      </c>
      <c r="AC67" s="92">
        <f ca="1" t="shared" si="26"/>
        <v>0</v>
      </c>
      <c r="AD67" s="92">
        <f ca="1" t="shared" si="26"/>
        <v>0</v>
      </c>
      <c r="AE67" s="92">
        <f ca="1" t="shared" si="26"/>
        <v>0</v>
      </c>
      <c r="AF67" s="92">
        <f ca="1" t="shared" si="26"/>
        <v>0</v>
      </c>
      <c r="AG67" s="92">
        <f ca="1" t="shared" si="26"/>
        <v>0</v>
      </c>
      <c r="AH67" s="92">
        <f ca="1" t="shared" si="26"/>
        <v>0</v>
      </c>
      <c r="AI67" s="92">
        <f ca="1" t="shared" si="26"/>
        <v>0</v>
      </c>
      <c r="AJ67" s="92">
        <f ca="1" t="shared" si="27"/>
        <v>0</v>
      </c>
      <c r="AK67" s="92">
        <f ca="1" t="shared" si="27"/>
        <v>0</v>
      </c>
      <c r="AL67" s="92">
        <f ca="1" t="shared" si="27"/>
        <v>0</v>
      </c>
      <c r="AM67" s="92">
        <f ca="1" t="shared" si="27"/>
        <v>0</v>
      </c>
      <c r="AN67" s="92">
        <f ca="1" t="shared" si="27"/>
        <v>0</v>
      </c>
      <c r="AO67" s="93">
        <f ca="1" t="shared" si="27"/>
        <v>0</v>
      </c>
    </row>
    <row r="68" spans="1:41" ht="12.75">
      <c r="A68" s="119">
        <f t="shared" si="28"/>
        <v>36312</v>
      </c>
      <c r="B68" s="120"/>
      <c r="C68" s="121"/>
      <c r="D68" s="92">
        <f t="shared" si="23"/>
        <v>135120</v>
      </c>
      <c r="E68" s="120"/>
      <c r="F68" s="92">
        <f aca="true" ca="1" t="shared" si="29" ref="F68:O77">IF($A68="","",IF(OR(F$8&lt;=ROUND(DAYS360(ValDat,$A68,0)/30,0),F$8&gt;ROUND(DAYS360(ExpDat,$A68,0)/30,0)),0,OFFSET(F$45,MAX(-MNR,ROUND(DAYS360(ValDat,$A68,0)/30,0)-F$8+MEP-MNR),0,1,1)))</f>
        <v>16631</v>
      </c>
      <c r="G68" s="92">
        <f ca="1" t="shared" si="29"/>
        <v>62953</v>
      </c>
      <c r="H68" s="92">
        <f ca="1" t="shared" si="29"/>
        <v>35845</v>
      </c>
      <c r="I68" s="92">
        <f ca="1" t="shared" si="29"/>
        <v>10719</v>
      </c>
      <c r="J68" s="92">
        <f ca="1" t="shared" si="29"/>
        <v>8570</v>
      </c>
      <c r="K68" s="92">
        <f ca="1" t="shared" si="29"/>
        <v>402</v>
      </c>
      <c r="L68" s="92">
        <f ca="1" t="shared" si="29"/>
        <v>0</v>
      </c>
      <c r="M68" s="92">
        <f ca="1" t="shared" si="29"/>
        <v>0</v>
      </c>
      <c r="N68" s="92">
        <f ca="1" t="shared" si="29"/>
        <v>0</v>
      </c>
      <c r="O68" s="92">
        <f ca="1" t="shared" si="29"/>
        <v>0</v>
      </c>
      <c r="P68" s="92">
        <f aca="true" ca="1" t="shared" si="30" ref="P68:Y77">IF($A68="","",IF(OR(P$8&lt;=ROUND(DAYS360(ValDat,$A68,0)/30,0),P$8&gt;ROUND(DAYS360(ExpDat,$A68,0)/30,0)),0,OFFSET(P$45,MAX(-MNR,ROUND(DAYS360(ValDat,$A68,0)/30,0)-P$8+MEP-MNR),0,1,1)))</f>
        <v>0</v>
      </c>
      <c r="Q68" s="92">
        <f ca="1" t="shared" si="30"/>
        <v>0</v>
      </c>
      <c r="R68" s="92">
        <f ca="1" t="shared" si="30"/>
        <v>0</v>
      </c>
      <c r="S68" s="92">
        <f ca="1" t="shared" si="30"/>
        <v>0</v>
      </c>
      <c r="T68" s="92">
        <f ca="1" t="shared" si="30"/>
        <v>0</v>
      </c>
      <c r="U68" s="92">
        <f ca="1" t="shared" si="30"/>
        <v>0</v>
      </c>
      <c r="V68" s="92">
        <f ca="1" t="shared" si="30"/>
        <v>0</v>
      </c>
      <c r="W68" s="92">
        <f ca="1" t="shared" si="30"/>
        <v>0</v>
      </c>
      <c r="X68" s="92">
        <f ca="1" t="shared" si="30"/>
        <v>0</v>
      </c>
      <c r="Y68" s="92">
        <f ca="1" t="shared" si="30"/>
        <v>0</v>
      </c>
      <c r="Z68" s="92">
        <f aca="true" ca="1" t="shared" si="31" ref="Z68:AI77">IF($A68="","",IF(OR(Z$8&lt;=ROUND(DAYS360(ValDat,$A68,0)/30,0),Z$8&gt;ROUND(DAYS360(ExpDat,$A68,0)/30,0)),0,OFFSET(Z$45,MAX(-MNR,ROUND(DAYS360(ValDat,$A68,0)/30,0)-Z$8+MEP-MNR),0,1,1)))</f>
        <v>0</v>
      </c>
      <c r="AA68" s="92">
        <f ca="1" t="shared" si="31"/>
        <v>0</v>
      </c>
      <c r="AB68" s="92">
        <f ca="1" t="shared" si="31"/>
        <v>0</v>
      </c>
      <c r="AC68" s="92">
        <f ca="1" t="shared" si="31"/>
        <v>0</v>
      </c>
      <c r="AD68" s="92">
        <f ca="1" t="shared" si="31"/>
        <v>0</v>
      </c>
      <c r="AE68" s="92">
        <f ca="1" t="shared" si="31"/>
        <v>0</v>
      </c>
      <c r="AF68" s="92">
        <f ca="1" t="shared" si="31"/>
        <v>0</v>
      </c>
      <c r="AG68" s="92">
        <f ca="1" t="shared" si="31"/>
        <v>0</v>
      </c>
      <c r="AH68" s="92">
        <f ca="1" t="shared" si="31"/>
        <v>0</v>
      </c>
      <c r="AI68" s="92">
        <f ca="1" t="shared" si="31"/>
        <v>0</v>
      </c>
      <c r="AJ68" s="92">
        <f aca="true" ca="1" t="shared" si="32" ref="AJ68:AO77">IF($A68="","",IF(OR(AJ$8&lt;=ROUND(DAYS360(ValDat,$A68,0)/30,0),AJ$8&gt;ROUND(DAYS360(ExpDat,$A68,0)/30,0)),0,OFFSET(AJ$45,MAX(-MNR,ROUND(DAYS360(ValDat,$A68,0)/30,0)-AJ$8+MEP-MNR),0,1,1)))</f>
        <v>0</v>
      </c>
      <c r="AK68" s="92">
        <f ca="1" t="shared" si="32"/>
        <v>0</v>
      </c>
      <c r="AL68" s="92">
        <f ca="1" t="shared" si="32"/>
        <v>0</v>
      </c>
      <c r="AM68" s="92">
        <f ca="1" t="shared" si="32"/>
        <v>0</v>
      </c>
      <c r="AN68" s="92">
        <f ca="1" t="shared" si="32"/>
        <v>0</v>
      </c>
      <c r="AO68" s="93">
        <f ca="1" t="shared" si="32"/>
        <v>0</v>
      </c>
    </row>
    <row r="69" spans="1:41" ht="12.75">
      <c r="A69" s="119">
        <f t="shared" si="28"/>
        <v>36342</v>
      </c>
      <c r="B69" s="120"/>
      <c r="C69" s="121"/>
      <c r="D69" s="92">
        <f t="shared" si="23"/>
        <v>317938</v>
      </c>
      <c r="E69" s="120"/>
      <c r="F69" s="92">
        <f ca="1" t="shared" si="29"/>
        <v>98502</v>
      </c>
      <c r="G69" s="92">
        <f ca="1" t="shared" si="29"/>
        <v>145028</v>
      </c>
      <c r="H69" s="92">
        <f ca="1" t="shared" si="29"/>
        <v>22027</v>
      </c>
      <c r="I69" s="92">
        <f ca="1" t="shared" si="29"/>
        <v>36513</v>
      </c>
      <c r="J69" s="92">
        <f ca="1" t="shared" si="29"/>
        <v>11697</v>
      </c>
      <c r="K69" s="92">
        <f ca="1" t="shared" si="29"/>
        <v>4171</v>
      </c>
      <c r="L69" s="92">
        <f ca="1" t="shared" si="29"/>
        <v>0</v>
      </c>
      <c r="M69" s="92">
        <f ca="1" t="shared" si="29"/>
        <v>0</v>
      </c>
      <c r="N69" s="92">
        <f ca="1" t="shared" si="29"/>
        <v>0</v>
      </c>
      <c r="O69" s="92">
        <f ca="1" t="shared" si="29"/>
        <v>0</v>
      </c>
      <c r="P69" s="92">
        <f ca="1" t="shared" si="30"/>
        <v>0</v>
      </c>
      <c r="Q69" s="92">
        <f ca="1" t="shared" si="30"/>
        <v>0</v>
      </c>
      <c r="R69" s="92">
        <f ca="1" t="shared" si="30"/>
        <v>0</v>
      </c>
      <c r="S69" s="92">
        <f ca="1" t="shared" si="30"/>
        <v>0</v>
      </c>
      <c r="T69" s="92">
        <f ca="1" t="shared" si="30"/>
        <v>0</v>
      </c>
      <c r="U69" s="92">
        <f ca="1" t="shared" si="30"/>
        <v>0</v>
      </c>
      <c r="V69" s="92">
        <f ca="1" t="shared" si="30"/>
        <v>0</v>
      </c>
      <c r="W69" s="92">
        <f ca="1" t="shared" si="30"/>
        <v>0</v>
      </c>
      <c r="X69" s="92">
        <f ca="1" t="shared" si="30"/>
        <v>0</v>
      </c>
      <c r="Y69" s="92">
        <f ca="1" t="shared" si="30"/>
        <v>0</v>
      </c>
      <c r="Z69" s="92">
        <f ca="1" t="shared" si="31"/>
        <v>0</v>
      </c>
      <c r="AA69" s="92">
        <f ca="1" t="shared" si="31"/>
        <v>0</v>
      </c>
      <c r="AB69" s="92">
        <f ca="1" t="shared" si="31"/>
        <v>0</v>
      </c>
      <c r="AC69" s="92">
        <f ca="1" t="shared" si="31"/>
        <v>0</v>
      </c>
      <c r="AD69" s="92">
        <f ca="1" t="shared" si="31"/>
        <v>0</v>
      </c>
      <c r="AE69" s="92">
        <f ca="1" t="shared" si="31"/>
        <v>0</v>
      </c>
      <c r="AF69" s="92">
        <f ca="1" t="shared" si="31"/>
        <v>0</v>
      </c>
      <c r="AG69" s="92">
        <f ca="1" t="shared" si="31"/>
        <v>0</v>
      </c>
      <c r="AH69" s="92">
        <f ca="1" t="shared" si="31"/>
        <v>0</v>
      </c>
      <c r="AI69" s="92">
        <f ca="1" t="shared" si="31"/>
        <v>0</v>
      </c>
      <c r="AJ69" s="92">
        <f ca="1" t="shared" si="32"/>
        <v>0</v>
      </c>
      <c r="AK69" s="92">
        <f ca="1" t="shared" si="32"/>
        <v>0</v>
      </c>
      <c r="AL69" s="92">
        <f ca="1" t="shared" si="32"/>
        <v>0</v>
      </c>
      <c r="AM69" s="92">
        <f ca="1" t="shared" si="32"/>
        <v>0</v>
      </c>
      <c r="AN69" s="92">
        <f ca="1" t="shared" si="32"/>
        <v>0</v>
      </c>
      <c r="AO69" s="93">
        <f ca="1" t="shared" si="32"/>
        <v>0</v>
      </c>
    </row>
    <row r="70" spans="1:41" ht="12.75">
      <c r="A70" s="119">
        <f t="shared" si="28"/>
        <v>36373</v>
      </c>
      <c r="B70" s="120"/>
      <c r="C70" s="121"/>
      <c r="D70" s="92">
        <f t="shared" si="23"/>
        <v>203315</v>
      </c>
      <c r="E70" s="120"/>
      <c r="F70" s="92">
        <f ca="1" t="shared" si="29"/>
        <v>8178</v>
      </c>
      <c r="G70" s="92">
        <f ca="1" t="shared" si="29"/>
        <v>96530</v>
      </c>
      <c r="H70" s="92">
        <f ca="1" t="shared" si="29"/>
        <v>48307</v>
      </c>
      <c r="I70" s="92">
        <f ca="1" t="shared" si="29"/>
        <v>34250</v>
      </c>
      <c r="J70" s="92">
        <f ca="1" t="shared" si="29"/>
        <v>13434</v>
      </c>
      <c r="K70" s="92">
        <f ca="1" t="shared" si="29"/>
        <v>1703</v>
      </c>
      <c r="L70" s="92">
        <f ca="1" t="shared" si="29"/>
        <v>913</v>
      </c>
      <c r="M70" s="92">
        <f ca="1" t="shared" si="29"/>
        <v>0</v>
      </c>
      <c r="N70" s="92">
        <f ca="1" t="shared" si="29"/>
        <v>0</v>
      </c>
      <c r="O70" s="92">
        <f ca="1" t="shared" si="29"/>
        <v>0</v>
      </c>
      <c r="P70" s="92">
        <f ca="1" t="shared" si="30"/>
        <v>0</v>
      </c>
      <c r="Q70" s="92">
        <f ca="1" t="shared" si="30"/>
        <v>0</v>
      </c>
      <c r="R70" s="92">
        <f ca="1" t="shared" si="30"/>
        <v>0</v>
      </c>
      <c r="S70" s="92">
        <f ca="1" t="shared" si="30"/>
        <v>0</v>
      </c>
      <c r="T70" s="92">
        <f ca="1" t="shared" si="30"/>
        <v>0</v>
      </c>
      <c r="U70" s="92">
        <f ca="1" t="shared" si="30"/>
        <v>0</v>
      </c>
      <c r="V70" s="92">
        <f ca="1" t="shared" si="30"/>
        <v>0</v>
      </c>
      <c r="W70" s="92">
        <f ca="1" t="shared" si="30"/>
        <v>0</v>
      </c>
      <c r="X70" s="92">
        <f ca="1" t="shared" si="30"/>
        <v>0</v>
      </c>
      <c r="Y70" s="92">
        <f ca="1" t="shared" si="30"/>
        <v>0</v>
      </c>
      <c r="Z70" s="92">
        <f ca="1" t="shared" si="31"/>
        <v>0</v>
      </c>
      <c r="AA70" s="92">
        <f ca="1" t="shared" si="31"/>
        <v>0</v>
      </c>
      <c r="AB70" s="92">
        <f ca="1" t="shared" si="31"/>
        <v>0</v>
      </c>
      <c r="AC70" s="92">
        <f ca="1" t="shared" si="31"/>
        <v>0</v>
      </c>
      <c r="AD70" s="92">
        <f ca="1" t="shared" si="31"/>
        <v>0</v>
      </c>
      <c r="AE70" s="92">
        <f ca="1" t="shared" si="31"/>
        <v>0</v>
      </c>
      <c r="AF70" s="92">
        <f ca="1" t="shared" si="31"/>
        <v>0</v>
      </c>
      <c r="AG70" s="92">
        <f ca="1" t="shared" si="31"/>
        <v>0</v>
      </c>
      <c r="AH70" s="92">
        <f ca="1" t="shared" si="31"/>
        <v>0</v>
      </c>
      <c r="AI70" s="92">
        <f ca="1" t="shared" si="31"/>
        <v>0</v>
      </c>
      <c r="AJ70" s="92">
        <f ca="1" t="shared" si="32"/>
        <v>0</v>
      </c>
      <c r="AK70" s="92">
        <f ca="1" t="shared" si="32"/>
        <v>0</v>
      </c>
      <c r="AL70" s="92">
        <f ca="1" t="shared" si="32"/>
        <v>0</v>
      </c>
      <c r="AM70" s="92">
        <f ca="1" t="shared" si="32"/>
        <v>0</v>
      </c>
      <c r="AN70" s="92">
        <f ca="1" t="shared" si="32"/>
        <v>0</v>
      </c>
      <c r="AO70" s="93">
        <f ca="1" t="shared" si="32"/>
        <v>0</v>
      </c>
    </row>
    <row r="71" spans="1:41" ht="12.75">
      <c r="A71" s="119">
        <f t="shared" si="28"/>
        <v>36404</v>
      </c>
      <c r="B71" s="120"/>
      <c r="C71" s="121"/>
      <c r="D71" s="92">
        <f t="shared" si="23"/>
        <v>119700</v>
      </c>
      <c r="E71" s="120"/>
      <c r="F71" s="92">
        <f ca="1" t="shared" si="29"/>
        <v>22133</v>
      </c>
      <c r="G71" s="92">
        <f ca="1" t="shared" si="29"/>
        <v>50538</v>
      </c>
      <c r="H71" s="92">
        <f ca="1" t="shared" si="29"/>
        <v>25198</v>
      </c>
      <c r="I71" s="92">
        <f ca="1" t="shared" si="29"/>
        <v>6744</v>
      </c>
      <c r="J71" s="92">
        <f ca="1" t="shared" si="29"/>
        <v>12905</v>
      </c>
      <c r="K71" s="92">
        <f ca="1" t="shared" si="29"/>
        <v>1335</v>
      </c>
      <c r="L71" s="92">
        <f ca="1" t="shared" si="29"/>
        <v>254</v>
      </c>
      <c r="M71" s="92">
        <f ca="1" t="shared" si="29"/>
        <v>593</v>
      </c>
      <c r="N71" s="92">
        <f ca="1" t="shared" si="29"/>
        <v>0</v>
      </c>
      <c r="O71" s="92">
        <f ca="1" t="shared" si="29"/>
        <v>0</v>
      </c>
      <c r="P71" s="92">
        <f ca="1" t="shared" si="30"/>
        <v>0</v>
      </c>
      <c r="Q71" s="92">
        <f ca="1" t="shared" si="30"/>
        <v>0</v>
      </c>
      <c r="R71" s="92">
        <f ca="1" t="shared" si="30"/>
        <v>0</v>
      </c>
      <c r="S71" s="92">
        <f ca="1" t="shared" si="30"/>
        <v>0</v>
      </c>
      <c r="T71" s="92">
        <f ca="1" t="shared" si="30"/>
        <v>0</v>
      </c>
      <c r="U71" s="92">
        <f ca="1" t="shared" si="30"/>
        <v>0</v>
      </c>
      <c r="V71" s="92">
        <f ca="1" t="shared" si="30"/>
        <v>0</v>
      </c>
      <c r="W71" s="92">
        <f ca="1" t="shared" si="30"/>
        <v>0</v>
      </c>
      <c r="X71" s="92">
        <f ca="1" t="shared" si="30"/>
        <v>0</v>
      </c>
      <c r="Y71" s="92">
        <f ca="1" t="shared" si="30"/>
        <v>0</v>
      </c>
      <c r="Z71" s="92">
        <f ca="1" t="shared" si="31"/>
        <v>0</v>
      </c>
      <c r="AA71" s="92">
        <f ca="1" t="shared" si="31"/>
        <v>0</v>
      </c>
      <c r="AB71" s="92">
        <f ca="1" t="shared" si="31"/>
        <v>0</v>
      </c>
      <c r="AC71" s="92">
        <f ca="1" t="shared" si="31"/>
        <v>0</v>
      </c>
      <c r="AD71" s="92">
        <f ca="1" t="shared" si="31"/>
        <v>0</v>
      </c>
      <c r="AE71" s="92">
        <f ca="1" t="shared" si="31"/>
        <v>0</v>
      </c>
      <c r="AF71" s="92">
        <f ca="1" t="shared" si="31"/>
        <v>0</v>
      </c>
      <c r="AG71" s="92">
        <f ca="1" t="shared" si="31"/>
        <v>0</v>
      </c>
      <c r="AH71" s="92">
        <f ca="1" t="shared" si="31"/>
        <v>0</v>
      </c>
      <c r="AI71" s="92">
        <f ca="1" t="shared" si="31"/>
        <v>0</v>
      </c>
      <c r="AJ71" s="92">
        <f ca="1" t="shared" si="32"/>
        <v>0</v>
      </c>
      <c r="AK71" s="92">
        <f ca="1" t="shared" si="32"/>
        <v>0</v>
      </c>
      <c r="AL71" s="92">
        <f ca="1" t="shared" si="32"/>
        <v>0</v>
      </c>
      <c r="AM71" s="92">
        <f ca="1" t="shared" si="32"/>
        <v>0</v>
      </c>
      <c r="AN71" s="92">
        <f ca="1" t="shared" si="32"/>
        <v>0</v>
      </c>
      <c r="AO71" s="93">
        <f ca="1" t="shared" si="32"/>
        <v>0</v>
      </c>
    </row>
    <row r="72" spans="1:41" ht="12.75">
      <c r="A72" s="119">
        <f t="shared" si="28"/>
        <v>36434</v>
      </c>
      <c r="B72" s="120"/>
      <c r="C72" s="121"/>
      <c r="D72" s="92">
        <f t="shared" si="23"/>
        <v>146305</v>
      </c>
      <c r="E72" s="120"/>
      <c r="F72" s="92">
        <f ca="1" t="shared" si="29"/>
        <v>8887</v>
      </c>
      <c r="G72" s="92">
        <f ca="1" t="shared" si="29"/>
        <v>43202</v>
      </c>
      <c r="H72" s="92">
        <f ca="1" t="shared" si="29"/>
        <v>21390</v>
      </c>
      <c r="I72" s="92">
        <f ca="1" t="shared" si="29"/>
        <v>25454</v>
      </c>
      <c r="J72" s="92">
        <f ca="1" t="shared" si="29"/>
        <v>43499</v>
      </c>
      <c r="K72" s="92">
        <f ca="1" t="shared" si="29"/>
        <v>1541</v>
      </c>
      <c r="L72" s="92">
        <f ca="1" t="shared" si="29"/>
        <v>1739</v>
      </c>
      <c r="M72" s="92">
        <f ca="1" t="shared" si="29"/>
        <v>593</v>
      </c>
      <c r="N72" s="92">
        <f ca="1" t="shared" si="29"/>
        <v>0</v>
      </c>
      <c r="O72" s="92">
        <f ca="1" t="shared" si="29"/>
        <v>0</v>
      </c>
      <c r="P72" s="92">
        <f ca="1" t="shared" si="30"/>
        <v>0</v>
      </c>
      <c r="Q72" s="92">
        <f ca="1" t="shared" si="30"/>
        <v>0</v>
      </c>
      <c r="R72" s="92">
        <f ca="1" t="shared" si="30"/>
        <v>0</v>
      </c>
      <c r="S72" s="92">
        <f ca="1" t="shared" si="30"/>
        <v>0</v>
      </c>
      <c r="T72" s="92">
        <f ca="1" t="shared" si="30"/>
        <v>0</v>
      </c>
      <c r="U72" s="92">
        <f ca="1" t="shared" si="30"/>
        <v>0</v>
      </c>
      <c r="V72" s="92">
        <f ca="1" t="shared" si="30"/>
        <v>0</v>
      </c>
      <c r="W72" s="92">
        <f ca="1" t="shared" si="30"/>
        <v>0</v>
      </c>
      <c r="X72" s="92">
        <f ca="1" t="shared" si="30"/>
        <v>0</v>
      </c>
      <c r="Y72" s="92">
        <f ca="1" t="shared" si="30"/>
        <v>0</v>
      </c>
      <c r="Z72" s="92">
        <f ca="1" t="shared" si="31"/>
        <v>0</v>
      </c>
      <c r="AA72" s="92">
        <f ca="1" t="shared" si="31"/>
        <v>0</v>
      </c>
      <c r="AB72" s="92">
        <f ca="1" t="shared" si="31"/>
        <v>0</v>
      </c>
      <c r="AC72" s="92">
        <f ca="1" t="shared" si="31"/>
        <v>0</v>
      </c>
      <c r="AD72" s="92">
        <f ca="1" t="shared" si="31"/>
        <v>0</v>
      </c>
      <c r="AE72" s="92">
        <f ca="1" t="shared" si="31"/>
        <v>0</v>
      </c>
      <c r="AF72" s="92">
        <f ca="1" t="shared" si="31"/>
        <v>0</v>
      </c>
      <c r="AG72" s="92">
        <f ca="1" t="shared" si="31"/>
        <v>0</v>
      </c>
      <c r="AH72" s="92">
        <f ca="1" t="shared" si="31"/>
        <v>0</v>
      </c>
      <c r="AI72" s="92">
        <f ca="1" t="shared" si="31"/>
        <v>0</v>
      </c>
      <c r="AJ72" s="92">
        <f ca="1" t="shared" si="32"/>
        <v>0</v>
      </c>
      <c r="AK72" s="92">
        <f ca="1" t="shared" si="32"/>
        <v>0</v>
      </c>
      <c r="AL72" s="92">
        <f ca="1" t="shared" si="32"/>
        <v>0</v>
      </c>
      <c r="AM72" s="92">
        <f ca="1" t="shared" si="32"/>
        <v>0</v>
      </c>
      <c r="AN72" s="92">
        <f ca="1" t="shared" si="32"/>
        <v>0</v>
      </c>
      <c r="AO72" s="93">
        <f ca="1" t="shared" si="32"/>
        <v>0</v>
      </c>
    </row>
    <row r="73" spans="1:41" ht="12.75">
      <c r="A73" s="119">
        <f t="shared" si="28"/>
        <v>36465</v>
      </c>
      <c r="B73" s="120"/>
      <c r="C73" s="121"/>
      <c r="D73" s="92">
        <f t="shared" si="23"/>
        <v>167901</v>
      </c>
      <c r="E73" s="120"/>
      <c r="F73" s="92">
        <f ca="1" t="shared" si="29"/>
        <v>31566</v>
      </c>
      <c r="G73" s="92">
        <f ca="1" t="shared" si="29"/>
        <v>57900</v>
      </c>
      <c r="H73" s="92">
        <f ca="1" t="shared" si="29"/>
        <v>19233</v>
      </c>
      <c r="I73" s="92">
        <f ca="1" t="shared" si="29"/>
        <v>25812</v>
      </c>
      <c r="J73" s="92">
        <f ca="1" t="shared" si="29"/>
        <v>21540</v>
      </c>
      <c r="K73" s="92">
        <f ca="1" t="shared" si="29"/>
        <v>10999</v>
      </c>
      <c r="L73" s="92">
        <f ca="1" t="shared" si="29"/>
        <v>701</v>
      </c>
      <c r="M73" s="92">
        <f ca="1" t="shared" si="29"/>
        <v>150</v>
      </c>
      <c r="N73" s="92">
        <f ca="1" t="shared" si="29"/>
        <v>0</v>
      </c>
      <c r="O73" s="92">
        <f ca="1" t="shared" si="29"/>
        <v>0</v>
      </c>
      <c r="P73" s="92">
        <f ca="1" t="shared" si="30"/>
        <v>0</v>
      </c>
      <c r="Q73" s="92">
        <f ca="1" t="shared" si="30"/>
        <v>0</v>
      </c>
      <c r="R73" s="92">
        <f ca="1" t="shared" si="30"/>
        <v>0</v>
      </c>
      <c r="S73" s="92">
        <f ca="1" t="shared" si="30"/>
        <v>0</v>
      </c>
      <c r="T73" s="92">
        <f ca="1" t="shared" si="30"/>
        <v>0</v>
      </c>
      <c r="U73" s="92">
        <f ca="1" t="shared" si="30"/>
        <v>0</v>
      </c>
      <c r="V73" s="92">
        <f ca="1" t="shared" si="30"/>
        <v>0</v>
      </c>
      <c r="W73" s="92">
        <f ca="1" t="shared" si="30"/>
        <v>0</v>
      </c>
      <c r="X73" s="92">
        <f ca="1" t="shared" si="30"/>
        <v>0</v>
      </c>
      <c r="Y73" s="92">
        <f ca="1" t="shared" si="30"/>
        <v>0</v>
      </c>
      <c r="Z73" s="92">
        <f ca="1" t="shared" si="31"/>
        <v>0</v>
      </c>
      <c r="AA73" s="92">
        <f ca="1" t="shared" si="31"/>
        <v>0</v>
      </c>
      <c r="AB73" s="92">
        <f ca="1" t="shared" si="31"/>
        <v>0</v>
      </c>
      <c r="AC73" s="92">
        <f ca="1" t="shared" si="31"/>
        <v>0</v>
      </c>
      <c r="AD73" s="92">
        <f ca="1" t="shared" si="31"/>
        <v>0</v>
      </c>
      <c r="AE73" s="92">
        <f ca="1" t="shared" si="31"/>
        <v>0</v>
      </c>
      <c r="AF73" s="92">
        <f ca="1" t="shared" si="31"/>
        <v>0</v>
      </c>
      <c r="AG73" s="92">
        <f ca="1" t="shared" si="31"/>
        <v>0</v>
      </c>
      <c r="AH73" s="92">
        <f ca="1" t="shared" si="31"/>
        <v>0</v>
      </c>
      <c r="AI73" s="92">
        <f ca="1" t="shared" si="31"/>
        <v>0</v>
      </c>
      <c r="AJ73" s="92">
        <f ca="1" t="shared" si="32"/>
        <v>0</v>
      </c>
      <c r="AK73" s="92">
        <f ca="1" t="shared" si="32"/>
        <v>0</v>
      </c>
      <c r="AL73" s="92">
        <f ca="1" t="shared" si="32"/>
        <v>0</v>
      </c>
      <c r="AM73" s="92">
        <f ca="1" t="shared" si="32"/>
        <v>0</v>
      </c>
      <c r="AN73" s="92">
        <f ca="1" t="shared" si="32"/>
        <v>0</v>
      </c>
      <c r="AO73" s="93">
        <f ca="1" t="shared" si="32"/>
        <v>0</v>
      </c>
    </row>
    <row r="74" spans="1:41" ht="12.75">
      <c r="A74" s="119">
        <f t="shared" si="28"/>
        <v>36495</v>
      </c>
      <c r="B74" s="120"/>
      <c r="C74" s="121"/>
      <c r="D74" s="92">
        <f t="shared" si="23"/>
        <v>198865</v>
      </c>
      <c r="E74" s="120"/>
      <c r="F74" s="92">
        <f ca="1" t="shared" si="29"/>
        <v>1321</v>
      </c>
      <c r="G74" s="92">
        <f ca="1" t="shared" si="29"/>
        <v>83114</v>
      </c>
      <c r="H74" s="92">
        <f ca="1" t="shared" si="29"/>
        <v>69592</v>
      </c>
      <c r="I74" s="92">
        <f ca="1" t="shared" si="29"/>
        <v>23721</v>
      </c>
      <c r="J74" s="92">
        <f ca="1" t="shared" si="29"/>
        <v>3445</v>
      </c>
      <c r="K74" s="92">
        <f ca="1" t="shared" si="29"/>
        <v>10627</v>
      </c>
      <c r="L74" s="92">
        <f ca="1" t="shared" si="29"/>
        <v>6831</v>
      </c>
      <c r="M74" s="92">
        <f ca="1" t="shared" si="29"/>
        <v>150</v>
      </c>
      <c r="N74" s="92">
        <f ca="1" t="shared" si="29"/>
        <v>64</v>
      </c>
      <c r="O74" s="92">
        <f ca="1" t="shared" si="29"/>
        <v>0</v>
      </c>
      <c r="P74" s="92">
        <f ca="1" t="shared" si="30"/>
        <v>0</v>
      </c>
      <c r="Q74" s="92">
        <f ca="1" t="shared" si="30"/>
        <v>0</v>
      </c>
      <c r="R74" s="92">
        <f ca="1" t="shared" si="30"/>
        <v>0</v>
      </c>
      <c r="S74" s="92">
        <f ca="1" t="shared" si="30"/>
        <v>0</v>
      </c>
      <c r="T74" s="92">
        <f ca="1" t="shared" si="30"/>
        <v>0</v>
      </c>
      <c r="U74" s="92">
        <f ca="1" t="shared" si="30"/>
        <v>0</v>
      </c>
      <c r="V74" s="92">
        <f ca="1" t="shared" si="30"/>
        <v>0</v>
      </c>
      <c r="W74" s="92">
        <f ca="1" t="shared" si="30"/>
        <v>0</v>
      </c>
      <c r="X74" s="92">
        <f ca="1" t="shared" si="30"/>
        <v>0</v>
      </c>
      <c r="Y74" s="92">
        <f ca="1" t="shared" si="30"/>
        <v>0</v>
      </c>
      <c r="Z74" s="92">
        <f ca="1" t="shared" si="31"/>
        <v>0</v>
      </c>
      <c r="AA74" s="92">
        <f ca="1" t="shared" si="31"/>
        <v>0</v>
      </c>
      <c r="AB74" s="92">
        <f ca="1" t="shared" si="31"/>
        <v>0</v>
      </c>
      <c r="AC74" s="92">
        <f ca="1" t="shared" si="31"/>
        <v>0</v>
      </c>
      <c r="AD74" s="92">
        <f ca="1" t="shared" si="31"/>
        <v>0</v>
      </c>
      <c r="AE74" s="92">
        <f ca="1" t="shared" si="31"/>
        <v>0</v>
      </c>
      <c r="AF74" s="92">
        <f ca="1" t="shared" si="31"/>
        <v>0</v>
      </c>
      <c r="AG74" s="92">
        <f ca="1" t="shared" si="31"/>
        <v>0</v>
      </c>
      <c r="AH74" s="92">
        <f ca="1" t="shared" si="31"/>
        <v>0</v>
      </c>
      <c r="AI74" s="92">
        <f ca="1" t="shared" si="31"/>
        <v>0</v>
      </c>
      <c r="AJ74" s="92">
        <f ca="1" t="shared" si="32"/>
        <v>0</v>
      </c>
      <c r="AK74" s="92">
        <f ca="1" t="shared" si="32"/>
        <v>0</v>
      </c>
      <c r="AL74" s="92">
        <f ca="1" t="shared" si="32"/>
        <v>0</v>
      </c>
      <c r="AM74" s="92">
        <f ca="1" t="shared" si="32"/>
        <v>0</v>
      </c>
      <c r="AN74" s="92">
        <f ca="1" t="shared" si="32"/>
        <v>0</v>
      </c>
      <c r="AO74" s="93">
        <f ca="1" t="shared" si="32"/>
        <v>0</v>
      </c>
    </row>
    <row r="75" spans="1:41" ht="12.75">
      <c r="A75" s="119">
        <f t="shared" si="28"/>
        <v>36526</v>
      </c>
      <c r="B75" s="120"/>
      <c r="C75" s="121"/>
      <c r="D75" s="92">
        <f t="shared" si="23"/>
        <v>101456</v>
      </c>
      <c r="E75" s="120"/>
      <c r="F75" s="92">
        <f ca="1" t="shared" si="29"/>
        <v>14982</v>
      </c>
      <c r="G75" s="92">
        <f ca="1" t="shared" si="29"/>
        <v>33300</v>
      </c>
      <c r="H75" s="92">
        <f ca="1" t="shared" si="29"/>
        <v>23227</v>
      </c>
      <c r="I75" s="92">
        <f ca="1" t="shared" si="29"/>
        <v>13073</v>
      </c>
      <c r="J75" s="92">
        <f ca="1" t="shared" si="29"/>
        <v>1187</v>
      </c>
      <c r="K75" s="92">
        <f ca="1" t="shared" si="29"/>
        <v>-482</v>
      </c>
      <c r="L75" s="92">
        <f ca="1" t="shared" si="29"/>
        <v>188</v>
      </c>
      <c r="M75" s="92">
        <f ca="1" t="shared" si="29"/>
        <v>14862</v>
      </c>
      <c r="N75" s="92">
        <f ca="1" t="shared" si="29"/>
        <v>64</v>
      </c>
      <c r="O75" s="92">
        <f ca="1" t="shared" si="29"/>
        <v>1055</v>
      </c>
      <c r="P75" s="92">
        <f ca="1" t="shared" si="30"/>
        <v>0</v>
      </c>
      <c r="Q75" s="92">
        <f ca="1" t="shared" si="30"/>
        <v>0</v>
      </c>
      <c r="R75" s="92">
        <f ca="1" t="shared" si="30"/>
        <v>0</v>
      </c>
      <c r="S75" s="92">
        <f ca="1" t="shared" si="30"/>
        <v>0</v>
      </c>
      <c r="T75" s="92">
        <f ca="1" t="shared" si="30"/>
        <v>0</v>
      </c>
      <c r="U75" s="92">
        <f ca="1" t="shared" si="30"/>
        <v>0</v>
      </c>
      <c r="V75" s="92">
        <f ca="1" t="shared" si="30"/>
        <v>0</v>
      </c>
      <c r="W75" s="92">
        <f ca="1" t="shared" si="30"/>
        <v>0</v>
      </c>
      <c r="X75" s="92">
        <f ca="1" t="shared" si="30"/>
        <v>0</v>
      </c>
      <c r="Y75" s="92">
        <f ca="1" t="shared" si="30"/>
        <v>0</v>
      </c>
      <c r="Z75" s="92">
        <f ca="1" t="shared" si="31"/>
        <v>0</v>
      </c>
      <c r="AA75" s="92">
        <f ca="1" t="shared" si="31"/>
        <v>0</v>
      </c>
      <c r="AB75" s="92">
        <f ca="1" t="shared" si="31"/>
        <v>0</v>
      </c>
      <c r="AC75" s="92">
        <f ca="1" t="shared" si="31"/>
        <v>0</v>
      </c>
      <c r="AD75" s="92">
        <f ca="1" t="shared" si="31"/>
        <v>0</v>
      </c>
      <c r="AE75" s="92">
        <f ca="1" t="shared" si="31"/>
        <v>0</v>
      </c>
      <c r="AF75" s="92">
        <f ca="1" t="shared" si="31"/>
        <v>0</v>
      </c>
      <c r="AG75" s="92">
        <f ca="1" t="shared" si="31"/>
        <v>0</v>
      </c>
      <c r="AH75" s="92">
        <f ca="1" t="shared" si="31"/>
        <v>0</v>
      </c>
      <c r="AI75" s="92">
        <f ca="1" t="shared" si="31"/>
        <v>0</v>
      </c>
      <c r="AJ75" s="92">
        <f ca="1" t="shared" si="32"/>
        <v>0</v>
      </c>
      <c r="AK75" s="92">
        <f ca="1" t="shared" si="32"/>
        <v>0</v>
      </c>
      <c r="AL75" s="92">
        <f ca="1" t="shared" si="32"/>
        <v>0</v>
      </c>
      <c r="AM75" s="92">
        <f ca="1" t="shared" si="32"/>
        <v>0</v>
      </c>
      <c r="AN75" s="92">
        <f ca="1" t="shared" si="32"/>
        <v>0</v>
      </c>
      <c r="AO75" s="93">
        <f ca="1" t="shared" si="32"/>
        <v>0</v>
      </c>
    </row>
    <row r="76" spans="1:41" ht="12.75">
      <c r="A76" s="119">
        <f t="shared" si="28"/>
        <v>36557</v>
      </c>
      <c r="B76" s="120"/>
      <c r="C76" s="121"/>
      <c r="D76" s="92">
        <f t="shared" si="23"/>
        <v>119738</v>
      </c>
      <c r="E76" s="120"/>
      <c r="F76" s="92">
        <f ca="1" t="shared" si="29"/>
        <v>9736</v>
      </c>
      <c r="G76" s="92">
        <f ca="1" t="shared" si="29"/>
        <v>44836</v>
      </c>
      <c r="H76" s="92">
        <f ca="1" t="shared" si="29"/>
        <v>30097</v>
      </c>
      <c r="I76" s="92">
        <f ca="1" t="shared" si="29"/>
        <v>13635</v>
      </c>
      <c r="J76" s="92">
        <f ca="1" t="shared" si="29"/>
        <v>3966</v>
      </c>
      <c r="K76" s="92">
        <f ca="1" t="shared" si="29"/>
        <v>-269</v>
      </c>
      <c r="L76" s="92">
        <f ca="1" t="shared" si="29"/>
        <v>1182</v>
      </c>
      <c r="M76" s="92">
        <f ca="1" t="shared" si="29"/>
        <v>14862</v>
      </c>
      <c r="N76" s="92">
        <f ca="1" t="shared" si="29"/>
        <v>638</v>
      </c>
      <c r="O76" s="92">
        <f ca="1" t="shared" si="29"/>
        <v>1055</v>
      </c>
      <c r="P76" s="92">
        <f ca="1" t="shared" si="30"/>
        <v>0</v>
      </c>
      <c r="Q76" s="92">
        <f ca="1" t="shared" si="30"/>
        <v>0</v>
      </c>
      <c r="R76" s="92">
        <f ca="1" t="shared" si="30"/>
        <v>0</v>
      </c>
      <c r="S76" s="92">
        <f ca="1" t="shared" si="30"/>
        <v>0</v>
      </c>
      <c r="T76" s="92">
        <f ca="1" t="shared" si="30"/>
        <v>0</v>
      </c>
      <c r="U76" s="92">
        <f ca="1" t="shared" si="30"/>
        <v>0</v>
      </c>
      <c r="V76" s="92">
        <f ca="1" t="shared" si="30"/>
        <v>0</v>
      </c>
      <c r="W76" s="92">
        <f ca="1" t="shared" si="30"/>
        <v>0</v>
      </c>
      <c r="X76" s="92">
        <f ca="1" t="shared" si="30"/>
        <v>0</v>
      </c>
      <c r="Y76" s="92">
        <f ca="1" t="shared" si="30"/>
        <v>0</v>
      </c>
      <c r="Z76" s="92">
        <f ca="1" t="shared" si="31"/>
        <v>0</v>
      </c>
      <c r="AA76" s="92">
        <f ca="1" t="shared" si="31"/>
        <v>0</v>
      </c>
      <c r="AB76" s="92">
        <f ca="1" t="shared" si="31"/>
        <v>0</v>
      </c>
      <c r="AC76" s="92">
        <f ca="1" t="shared" si="31"/>
        <v>0</v>
      </c>
      <c r="AD76" s="92">
        <f ca="1" t="shared" si="31"/>
        <v>0</v>
      </c>
      <c r="AE76" s="92">
        <f ca="1" t="shared" si="31"/>
        <v>0</v>
      </c>
      <c r="AF76" s="92">
        <f ca="1" t="shared" si="31"/>
        <v>0</v>
      </c>
      <c r="AG76" s="92">
        <f ca="1" t="shared" si="31"/>
        <v>0</v>
      </c>
      <c r="AH76" s="92">
        <f ca="1" t="shared" si="31"/>
        <v>0</v>
      </c>
      <c r="AI76" s="92">
        <f ca="1" t="shared" si="31"/>
        <v>0</v>
      </c>
      <c r="AJ76" s="92">
        <f ca="1" t="shared" si="32"/>
        <v>0</v>
      </c>
      <c r="AK76" s="92">
        <f ca="1" t="shared" si="32"/>
        <v>0</v>
      </c>
      <c r="AL76" s="92">
        <f ca="1" t="shared" si="32"/>
        <v>0</v>
      </c>
      <c r="AM76" s="92">
        <f ca="1" t="shared" si="32"/>
        <v>0</v>
      </c>
      <c r="AN76" s="92">
        <f ca="1" t="shared" si="32"/>
        <v>0</v>
      </c>
      <c r="AO76" s="93">
        <f ca="1" t="shared" si="32"/>
        <v>0</v>
      </c>
    </row>
    <row r="77" spans="1:41" ht="12.75">
      <c r="A77" s="119">
        <f t="shared" si="28"/>
        <v>36586</v>
      </c>
      <c r="B77" s="120"/>
      <c r="C77" s="121"/>
      <c r="D77" s="92">
        <f t="shared" si="23"/>
        <v>233855</v>
      </c>
      <c r="E77" s="120"/>
      <c r="F77" s="92">
        <f ca="1" t="shared" si="29"/>
        <v>68074</v>
      </c>
      <c r="G77" s="92">
        <f ca="1" t="shared" si="29"/>
        <v>90376</v>
      </c>
      <c r="H77" s="92">
        <f ca="1" t="shared" si="29"/>
        <v>31946</v>
      </c>
      <c r="I77" s="92">
        <f ca="1" t="shared" si="29"/>
        <v>27921</v>
      </c>
      <c r="J77" s="92">
        <f ca="1" t="shared" si="29"/>
        <v>5991</v>
      </c>
      <c r="K77" s="92">
        <f ca="1" t="shared" si="29"/>
        <v>7382</v>
      </c>
      <c r="L77" s="92">
        <f ca="1" t="shared" si="29"/>
        <v>856</v>
      </c>
      <c r="M77" s="92">
        <f ca="1" t="shared" si="29"/>
        <v>512</v>
      </c>
      <c r="N77" s="92">
        <f ca="1" t="shared" si="29"/>
        <v>711</v>
      </c>
      <c r="O77" s="92">
        <f ca="1" t="shared" si="29"/>
        <v>86</v>
      </c>
      <c r="P77" s="92">
        <f ca="1" t="shared" si="30"/>
        <v>0</v>
      </c>
      <c r="Q77" s="92">
        <f ca="1" t="shared" si="30"/>
        <v>0</v>
      </c>
      <c r="R77" s="92">
        <f ca="1" t="shared" si="30"/>
        <v>0</v>
      </c>
      <c r="S77" s="92">
        <f ca="1" t="shared" si="30"/>
        <v>0</v>
      </c>
      <c r="T77" s="92">
        <f ca="1" t="shared" si="30"/>
        <v>0</v>
      </c>
      <c r="U77" s="92">
        <f ca="1" t="shared" si="30"/>
        <v>0</v>
      </c>
      <c r="V77" s="92">
        <f ca="1" t="shared" si="30"/>
        <v>0</v>
      </c>
      <c r="W77" s="92">
        <f ca="1" t="shared" si="30"/>
        <v>0</v>
      </c>
      <c r="X77" s="92">
        <f ca="1" t="shared" si="30"/>
        <v>0</v>
      </c>
      <c r="Y77" s="92">
        <f ca="1" t="shared" si="30"/>
        <v>0</v>
      </c>
      <c r="Z77" s="92">
        <f ca="1" t="shared" si="31"/>
        <v>0</v>
      </c>
      <c r="AA77" s="92">
        <f ca="1" t="shared" si="31"/>
        <v>0</v>
      </c>
      <c r="AB77" s="92">
        <f ca="1" t="shared" si="31"/>
        <v>0</v>
      </c>
      <c r="AC77" s="92">
        <f ca="1" t="shared" si="31"/>
        <v>0</v>
      </c>
      <c r="AD77" s="92">
        <f ca="1" t="shared" si="31"/>
        <v>0</v>
      </c>
      <c r="AE77" s="92">
        <f ca="1" t="shared" si="31"/>
        <v>0</v>
      </c>
      <c r="AF77" s="92">
        <f ca="1" t="shared" si="31"/>
        <v>0</v>
      </c>
      <c r="AG77" s="92">
        <f ca="1" t="shared" si="31"/>
        <v>0</v>
      </c>
      <c r="AH77" s="92">
        <f ca="1" t="shared" si="31"/>
        <v>0</v>
      </c>
      <c r="AI77" s="92">
        <f ca="1" t="shared" si="31"/>
        <v>0</v>
      </c>
      <c r="AJ77" s="92">
        <f ca="1" t="shared" si="32"/>
        <v>0</v>
      </c>
      <c r="AK77" s="92">
        <f ca="1" t="shared" si="32"/>
        <v>0</v>
      </c>
      <c r="AL77" s="92">
        <f ca="1" t="shared" si="32"/>
        <v>0</v>
      </c>
      <c r="AM77" s="92">
        <f ca="1" t="shared" si="32"/>
        <v>0</v>
      </c>
      <c r="AN77" s="92">
        <f ca="1" t="shared" si="32"/>
        <v>0</v>
      </c>
      <c r="AO77" s="93">
        <f ca="1" t="shared" si="32"/>
        <v>0</v>
      </c>
    </row>
    <row r="78" spans="1:41" ht="12.75">
      <c r="A78" s="119">
        <f t="shared" si="28"/>
        <v>36617</v>
      </c>
      <c r="B78" s="120"/>
      <c r="C78" s="121"/>
      <c r="D78" s="92">
        <f t="shared" si="23"/>
        <v>197783</v>
      </c>
      <c r="E78" s="120"/>
      <c r="F78" s="92">
        <f aca="true" ca="1" t="shared" si="33" ref="F78:O87">IF($A78="","",IF(OR(F$8&lt;=ROUND(DAYS360(ValDat,$A78,0)/30,0),F$8&gt;ROUND(DAYS360(ExpDat,$A78,0)/30,0)),0,OFFSET(F$45,MAX(-MNR,ROUND(DAYS360(ValDat,$A78,0)/30,0)-F$8+MEP-MNR),0,1,1)))</f>
        <v>10201</v>
      </c>
      <c r="G78" s="92">
        <f ca="1" t="shared" si="33"/>
        <v>108795</v>
      </c>
      <c r="H78" s="92">
        <f ca="1" t="shared" si="33"/>
        <v>64236</v>
      </c>
      <c r="I78" s="92">
        <f ca="1" t="shared" si="33"/>
        <v>3681</v>
      </c>
      <c r="J78" s="92">
        <f ca="1" t="shared" si="33"/>
        <v>5276</v>
      </c>
      <c r="K78" s="92">
        <f ca="1" t="shared" si="33"/>
        <v>3977</v>
      </c>
      <c r="L78" s="92">
        <f ca="1" t="shared" si="33"/>
        <v>990</v>
      </c>
      <c r="M78" s="92">
        <f ca="1" t="shared" si="33"/>
        <v>553</v>
      </c>
      <c r="N78" s="92">
        <f ca="1" t="shared" si="33"/>
        <v>61</v>
      </c>
      <c r="O78" s="92">
        <f ca="1" t="shared" si="33"/>
        <v>13</v>
      </c>
      <c r="P78" s="92">
        <f aca="true" ca="1" t="shared" si="34" ref="P78:Y87">IF($A78="","",IF(OR(P$8&lt;=ROUND(DAYS360(ValDat,$A78,0)/30,0),P$8&gt;ROUND(DAYS360(ExpDat,$A78,0)/30,0)),0,OFFSET(P$45,MAX(-MNR,ROUND(DAYS360(ValDat,$A78,0)/30,0)-P$8+MEP-MNR),0,1,1)))</f>
        <v>0</v>
      </c>
      <c r="Q78" s="92">
        <f ca="1" t="shared" si="34"/>
        <v>0</v>
      </c>
      <c r="R78" s="92">
        <f ca="1" t="shared" si="34"/>
        <v>0</v>
      </c>
      <c r="S78" s="92">
        <f ca="1" t="shared" si="34"/>
        <v>0</v>
      </c>
      <c r="T78" s="92">
        <f ca="1" t="shared" si="34"/>
        <v>0</v>
      </c>
      <c r="U78" s="92">
        <f ca="1" t="shared" si="34"/>
        <v>0</v>
      </c>
      <c r="V78" s="92">
        <f ca="1" t="shared" si="34"/>
        <v>0</v>
      </c>
      <c r="W78" s="92">
        <f ca="1" t="shared" si="34"/>
        <v>0</v>
      </c>
      <c r="X78" s="92">
        <f ca="1" t="shared" si="34"/>
        <v>0</v>
      </c>
      <c r="Y78" s="92">
        <f ca="1" t="shared" si="34"/>
        <v>0</v>
      </c>
      <c r="Z78" s="92">
        <f aca="true" ca="1" t="shared" si="35" ref="Z78:AI87">IF($A78="","",IF(OR(Z$8&lt;=ROUND(DAYS360(ValDat,$A78,0)/30,0),Z$8&gt;ROUND(DAYS360(ExpDat,$A78,0)/30,0)),0,OFFSET(Z$45,MAX(-MNR,ROUND(DAYS360(ValDat,$A78,0)/30,0)-Z$8+MEP-MNR),0,1,1)))</f>
        <v>0</v>
      </c>
      <c r="AA78" s="92">
        <f ca="1" t="shared" si="35"/>
        <v>0</v>
      </c>
      <c r="AB78" s="92">
        <f ca="1" t="shared" si="35"/>
        <v>0</v>
      </c>
      <c r="AC78" s="92">
        <f ca="1" t="shared" si="35"/>
        <v>0</v>
      </c>
      <c r="AD78" s="92">
        <f ca="1" t="shared" si="35"/>
        <v>0</v>
      </c>
      <c r="AE78" s="92">
        <f ca="1" t="shared" si="35"/>
        <v>0</v>
      </c>
      <c r="AF78" s="92">
        <f ca="1" t="shared" si="35"/>
        <v>0</v>
      </c>
      <c r="AG78" s="92">
        <f ca="1" t="shared" si="35"/>
        <v>0</v>
      </c>
      <c r="AH78" s="92">
        <f ca="1" t="shared" si="35"/>
        <v>0</v>
      </c>
      <c r="AI78" s="92">
        <f ca="1" t="shared" si="35"/>
        <v>0</v>
      </c>
      <c r="AJ78" s="92">
        <f aca="true" ca="1" t="shared" si="36" ref="AJ78:AO87">IF($A78="","",IF(OR(AJ$8&lt;=ROUND(DAYS360(ValDat,$A78,0)/30,0),AJ$8&gt;ROUND(DAYS360(ExpDat,$A78,0)/30,0)),0,OFFSET(AJ$45,MAX(-MNR,ROUND(DAYS360(ValDat,$A78,0)/30,0)-AJ$8+MEP-MNR),0,1,1)))</f>
        <v>0</v>
      </c>
      <c r="AK78" s="92">
        <f ca="1" t="shared" si="36"/>
        <v>0</v>
      </c>
      <c r="AL78" s="92">
        <f ca="1" t="shared" si="36"/>
        <v>0</v>
      </c>
      <c r="AM78" s="92">
        <f ca="1" t="shared" si="36"/>
        <v>0</v>
      </c>
      <c r="AN78" s="92">
        <f ca="1" t="shared" si="36"/>
        <v>0</v>
      </c>
      <c r="AO78" s="93">
        <f ca="1" t="shared" si="36"/>
        <v>0</v>
      </c>
    </row>
    <row r="79" spans="1:41" ht="12.75">
      <c r="A79" s="119">
        <f t="shared" si="28"/>
        <v>36647</v>
      </c>
      <c r="B79" s="120"/>
      <c r="C79" s="121"/>
      <c r="D79" s="92">
        <f t="shared" si="23"/>
        <v>212998</v>
      </c>
      <c r="E79" s="120"/>
      <c r="F79" s="92">
        <f ca="1" t="shared" si="33"/>
        <v>80043</v>
      </c>
      <c r="G79" s="92">
        <f ca="1" t="shared" si="33"/>
        <v>90658</v>
      </c>
      <c r="H79" s="92">
        <f ca="1" t="shared" si="33"/>
        <v>22323</v>
      </c>
      <c r="I79" s="92">
        <f ca="1" t="shared" si="33"/>
        <v>12899</v>
      </c>
      <c r="J79" s="92">
        <f ca="1" t="shared" si="33"/>
        <v>2985</v>
      </c>
      <c r="K79" s="92">
        <f ca="1" t="shared" si="33"/>
        <v>1752</v>
      </c>
      <c r="L79" s="92">
        <f ca="1" t="shared" si="33"/>
        <v>323</v>
      </c>
      <c r="M79" s="92">
        <f ca="1" t="shared" si="33"/>
        <v>1455</v>
      </c>
      <c r="N79" s="92">
        <f ca="1" t="shared" si="33"/>
        <v>20</v>
      </c>
      <c r="O79" s="92">
        <f ca="1" t="shared" si="33"/>
        <v>-300</v>
      </c>
      <c r="P79" s="92">
        <f ca="1" t="shared" si="34"/>
        <v>420</v>
      </c>
      <c r="Q79" s="92">
        <f ca="1" t="shared" si="34"/>
        <v>420</v>
      </c>
      <c r="R79" s="92">
        <f ca="1" t="shared" si="34"/>
        <v>0</v>
      </c>
      <c r="S79" s="92">
        <f ca="1" t="shared" si="34"/>
        <v>0</v>
      </c>
      <c r="T79" s="92">
        <f ca="1" t="shared" si="34"/>
        <v>0</v>
      </c>
      <c r="U79" s="92">
        <f ca="1" t="shared" si="34"/>
        <v>0</v>
      </c>
      <c r="V79" s="92">
        <f ca="1" t="shared" si="34"/>
        <v>0</v>
      </c>
      <c r="W79" s="92">
        <f ca="1" t="shared" si="34"/>
        <v>0</v>
      </c>
      <c r="X79" s="92">
        <f ca="1" t="shared" si="34"/>
        <v>0</v>
      </c>
      <c r="Y79" s="92">
        <f ca="1" t="shared" si="34"/>
        <v>0</v>
      </c>
      <c r="Z79" s="92">
        <f ca="1" t="shared" si="35"/>
        <v>0</v>
      </c>
      <c r="AA79" s="92">
        <f ca="1" t="shared" si="35"/>
        <v>0</v>
      </c>
      <c r="AB79" s="92">
        <f ca="1" t="shared" si="35"/>
        <v>0</v>
      </c>
      <c r="AC79" s="92">
        <f ca="1" t="shared" si="35"/>
        <v>0</v>
      </c>
      <c r="AD79" s="92">
        <f ca="1" t="shared" si="35"/>
        <v>0</v>
      </c>
      <c r="AE79" s="92">
        <f ca="1" t="shared" si="35"/>
        <v>0</v>
      </c>
      <c r="AF79" s="92">
        <f ca="1" t="shared" si="35"/>
        <v>0</v>
      </c>
      <c r="AG79" s="92">
        <f ca="1" t="shared" si="35"/>
        <v>0</v>
      </c>
      <c r="AH79" s="92">
        <f ca="1" t="shared" si="35"/>
        <v>0</v>
      </c>
      <c r="AI79" s="92">
        <f ca="1" t="shared" si="35"/>
        <v>0</v>
      </c>
      <c r="AJ79" s="92">
        <f ca="1" t="shared" si="36"/>
        <v>0</v>
      </c>
      <c r="AK79" s="92">
        <f ca="1" t="shared" si="36"/>
        <v>0</v>
      </c>
      <c r="AL79" s="92">
        <f ca="1" t="shared" si="36"/>
        <v>0</v>
      </c>
      <c r="AM79" s="92">
        <f ca="1" t="shared" si="36"/>
        <v>0</v>
      </c>
      <c r="AN79" s="92">
        <f ca="1" t="shared" si="36"/>
        <v>0</v>
      </c>
      <c r="AO79" s="93">
        <f ca="1" t="shared" si="36"/>
        <v>0</v>
      </c>
    </row>
    <row r="80" spans="1:41" ht="12.75">
      <c r="A80" s="119">
        <f t="shared" si="28"/>
        <v>36678</v>
      </c>
      <c r="B80" s="120"/>
      <c r="C80" s="121"/>
      <c r="D80" s="92">
        <f t="shared" si="23"/>
        <v>112659</v>
      </c>
      <c r="E80" s="120"/>
      <c r="F80" s="92">
        <f ca="1" t="shared" si="33"/>
        <v>4501</v>
      </c>
      <c r="G80" s="92">
        <f ca="1" t="shared" si="33"/>
        <v>39941</v>
      </c>
      <c r="H80" s="92">
        <f ca="1" t="shared" si="33"/>
        <v>24213</v>
      </c>
      <c r="I80" s="92">
        <f ca="1" t="shared" si="33"/>
        <v>1146</v>
      </c>
      <c r="J80" s="92">
        <f ca="1" t="shared" si="33"/>
        <v>29961</v>
      </c>
      <c r="K80" s="92">
        <f ca="1" t="shared" si="33"/>
        <v>1328</v>
      </c>
      <c r="L80" s="92">
        <f ca="1" t="shared" si="33"/>
        <v>9245</v>
      </c>
      <c r="M80" s="92">
        <f ca="1" t="shared" si="33"/>
        <v>1412</v>
      </c>
      <c r="N80" s="92">
        <f ca="1" t="shared" si="33"/>
        <v>1212</v>
      </c>
      <c r="O80" s="92">
        <f ca="1" t="shared" si="33"/>
        <v>-300</v>
      </c>
      <c r="P80" s="92">
        <f ca="1" t="shared" si="34"/>
        <v>0</v>
      </c>
      <c r="Q80" s="92">
        <f ca="1" t="shared" si="34"/>
        <v>0</v>
      </c>
      <c r="R80" s="92">
        <f ca="1" t="shared" si="34"/>
        <v>0</v>
      </c>
      <c r="S80" s="92">
        <f ca="1" t="shared" si="34"/>
        <v>0</v>
      </c>
      <c r="T80" s="92">
        <f ca="1" t="shared" si="34"/>
        <v>0</v>
      </c>
      <c r="U80" s="92">
        <f ca="1" t="shared" si="34"/>
        <v>0</v>
      </c>
      <c r="V80" s="92">
        <f ca="1" t="shared" si="34"/>
        <v>0</v>
      </c>
      <c r="W80" s="92">
        <f ca="1" t="shared" si="34"/>
        <v>0</v>
      </c>
      <c r="X80" s="92">
        <f ca="1" t="shared" si="34"/>
        <v>0</v>
      </c>
      <c r="Y80" s="92">
        <f ca="1" t="shared" si="34"/>
        <v>0</v>
      </c>
      <c r="Z80" s="92">
        <f ca="1" t="shared" si="35"/>
        <v>0</v>
      </c>
      <c r="AA80" s="92">
        <f ca="1" t="shared" si="35"/>
        <v>0</v>
      </c>
      <c r="AB80" s="92">
        <f ca="1" t="shared" si="35"/>
        <v>0</v>
      </c>
      <c r="AC80" s="92">
        <f ca="1" t="shared" si="35"/>
        <v>0</v>
      </c>
      <c r="AD80" s="92">
        <f ca="1" t="shared" si="35"/>
        <v>0</v>
      </c>
      <c r="AE80" s="92">
        <f ca="1" t="shared" si="35"/>
        <v>0</v>
      </c>
      <c r="AF80" s="92">
        <f ca="1" t="shared" si="35"/>
        <v>0</v>
      </c>
      <c r="AG80" s="92">
        <f ca="1" t="shared" si="35"/>
        <v>0</v>
      </c>
      <c r="AH80" s="92">
        <f ca="1" t="shared" si="35"/>
        <v>0</v>
      </c>
      <c r="AI80" s="92">
        <f ca="1" t="shared" si="35"/>
        <v>0</v>
      </c>
      <c r="AJ80" s="92">
        <f ca="1" t="shared" si="36"/>
        <v>0</v>
      </c>
      <c r="AK80" s="92">
        <f ca="1" t="shared" si="36"/>
        <v>0</v>
      </c>
      <c r="AL80" s="92">
        <f ca="1" t="shared" si="36"/>
        <v>0</v>
      </c>
      <c r="AM80" s="92">
        <f ca="1" t="shared" si="36"/>
        <v>0</v>
      </c>
      <c r="AN80" s="92">
        <f ca="1" t="shared" si="36"/>
        <v>0</v>
      </c>
      <c r="AO80" s="93">
        <f ca="1" t="shared" si="36"/>
        <v>0</v>
      </c>
    </row>
    <row r="81" spans="1:41" ht="12.75">
      <c r="A81" s="119">
        <f t="shared" si="28"/>
        <v>36708</v>
      </c>
      <c r="B81" s="120"/>
      <c r="C81" s="121"/>
      <c r="D81" s="92">
        <f t="shared" si="23"/>
        <v>170542</v>
      </c>
      <c r="E81" s="120"/>
      <c r="F81" s="92">
        <f ca="1" t="shared" si="33"/>
        <v>45495</v>
      </c>
      <c r="G81" s="92">
        <f ca="1" t="shared" si="33"/>
        <v>74638</v>
      </c>
      <c r="H81" s="92">
        <f ca="1" t="shared" si="33"/>
        <v>10905</v>
      </c>
      <c r="I81" s="92">
        <f ca="1" t="shared" si="33"/>
        <v>20107</v>
      </c>
      <c r="J81" s="92">
        <f ca="1" t="shared" si="33"/>
        <v>6942</v>
      </c>
      <c r="K81" s="92">
        <f ca="1" t="shared" si="33"/>
        <v>702</v>
      </c>
      <c r="L81" s="92">
        <f ca="1" t="shared" si="33"/>
        <v>9314</v>
      </c>
      <c r="M81" s="92">
        <f ca="1" t="shared" si="33"/>
        <v>117</v>
      </c>
      <c r="N81" s="92">
        <f ca="1" t="shared" si="33"/>
        <v>1242</v>
      </c>
      <c r="O81" s="92">
        <f ca="1" t="shared" si="33"/>
        <v>252</v>
      </c>
      <c r="P81" s="92">
        <f ca="1" t="shared" si="34"/>
        <v>374</v>
      </c>
      <c r="Q81" s="92">
        <f ca="1" t="shared" si="34"/>
        <v>454</v>
      </c>
      <c r="R81" s="92">
        <f ca="1" t="shared" si="34"/>
        <v>0</v>
      </c>
      <c r="S81" s="92">
        <f ca="1" t="shared" si="34"/>
        <v>0</v>
      </c>
      <c r="T81" s="92">
        <f ca="1" t="shared" si="34"/>
        <v>0</v>
      </c>
      <c r="U81" s="92">
        <f ca="1" t="shared" si="34"/>
        <v>0</v>
      </c>
      <c r="V81" s="92">
        <f ca="1" t="shared" si="34"/>
        <v>0</v>
      </c>
      <c r="W81" s="92">
        <f ca="1" t="shared" si="34"/>
        <v>0</v>
      </c>
      <c r="X81" s="92">
        <f ca="1" t="shared" si="34"/>
        <v>0</v>
      </c>
      <c r="Y81" s="92">
        <f ca="1" t="shared" si="34"/>
        <v>0</v>
      </c>
      <c r="Z81" s="92">
        <f ca="1" t="shared" si="35"/>
        <v>0</v>
      </c>
      <c r="AA81" s="92">
        <f ca="1" t="shared" si="35"/>
        <v>0</v>
      </c>
      <c r="AB81" s="92">
        <f ca="1" t="shared" si="35"/>
        <v>0</v>
      </c>
      <c r="AC81" s="92">
        <f ca="1" t="shared" si="35"/>
        <v>0</v>
      </c>
      <c r="AD81" s="92">
        <f ca="1" t="shared" si="35"/>
        <v>0</v>
      </c>
      <c r="AE81" s="92">
        <f ca="1" t="shared" si="35"/>
        <v>0</v>
      </c>
      <c r="AF81" s="92">
        <f ca="1" t="shared" si="35"/>
        <v>0</v>
      </c>
      <c r="AG81" s="92">
        <f ca="1" t="shared" si="35"/>
        <v>0</v>
      </c>
      <c r="AH81" s="92">
        <f ca="1" t="shared" si="35"/>
        <v>0</v>
      </c>
      <c r="AI81" s="92">
        <f ca="1" t="shared" si="35"/>
        <v>0</v>
      </c>
      <c r="AJ81" s="92">
        <f ca="1" t="shared" si="36"/>
        <v>0</v>
      </c>
      <c r="AK81" s="92">
        <f ca="1" t="shared" si="36"/>
        <v>0</v>
      </c>
      <c r="AL81" s="92">
        <f ca="1" t="shared" si="36"/>
        <v>0</v>
      </c>
      <c r="AM81" s="92">
        <f ca="1" t="shared" si="36"/>
        <v>0</v>
      </c>
      <c r="AN81" s="92">
        <f ca="1" t="shared" si="36"/>
        <v>0</v>
      </c>
      <c r="AO81" s="93">
        <f ca="1" t="shared" si="36"/>
        <v>0</v>
      </c>
    </row>
    <row r="82" spans="1:41" ht="12.75">
      <c r="A82" s="119">
        <f t="shared" si="28"/>
        <v>36739</v>
      </c>
      <c r="B82" s="120"/>
      <c r="C82" s="121"/>
      <c r="D82" s="92">
        <f t="shared" si="23"/>
        <v>243611</v>
      </c>
      <c r="E82" s="120"/>
      <c r="F82" s="92">
        <f ca="1" t="shared" si="33"/>
        <v>2952</v>
      </c>
      <c r="G82" s="92">
        <f ca="1" t="shared" si="33"/>
        <v>81868</v>
      </c>
      <c r="H82" s="92">
        <f ca="1" t="shared" si="33"/>
        <v>87955</v>
      </c>
      <c r="I82" s="92">
        <f ca="1" t="shared" si="33"/>
        <v>38977</v>
      </c>
      <c r="J82" s="92">
        <f ca="1" t="shared" si="33"/>
        <v>28866</v>
      </c>
      <c r="K82" s="92">
        <f ca="1" t="shared" si="33"/>
        <v>821</v>
      </c>
      <c r="L82" s="92">
        <f ca="1" t="shared" si="33"/>
        <v>1231</v>
      </c>
      <c r="M82" s="92">
        <f ca="1" t="shared" si="33"/>
        <v>117</v>
      </c>
      <c r="N82" s="92">
        <f ca="1" t="shared" si="33"/>
        <v>216</v>
      </c>
      <c r="O82" s="92">
        <f ca="1" t="shared" si="33"/>
        <v>450</v>
      </c>
      <c r="P82" s="92">
        <f ca="1" t="shared" si="34"/>
        <v>-208</v>
      </c>
      <c r="Q82" s="92">
        <f ca="1" t="shared" si="34"/>
        <v>80</v>
      </c>
      <c r="R82" s="92">
        <f ca="1" t="shared" si="34"/>
        <v>286</v>
      </c>
      <c r="S82" s="92">
        <f ca="1" t="shared" si="34"/>
        <v>0</v>
      </c>
      <c r="T82" s="92">
        <f ca="1" t="shared" si="34"/>
        <v>0</v>
      </c>
      <c r="U82" s="92">
        <f ca="1" t="shared" si="34"/>
        <v>0</v>
      </c>
      <c r="V82" s="92">
        <f ca="1" t="shared" si="34"/>
        <v>0</v>
      </c>
      <c r="W82" s="92">
        <f ca="1" t="shared" si="34"/>
        <v>0</v>
      </c>
      <c r="X82" s="92">
        <f ca="1" t="shared" si="34"/>
        <v>0</v>
      </c>
      <c r="Y82" s="92">
        <f ca="1" t="shared" si="34"/>
        <v>0</v>
      </c>
      <c r="Z82" s="92">
        <f ca="1" t="shared" si="35"/>
        <v>0</v>
      </c>
      <c r="AA82" s="92">
        <f ca="1" t="shared" si="35"/>
        <v>0</v>
      </c>
      <c r="AB82" s="92">
        <f ca="1" t="shared" si="35"/>
        <v>0</v>
      </c>
      <c r="AC82" s="92">
        <f ca="1" t="shared" si="35"/>
        <v>0</v>
      </c>
      <c r="AD82" s="92">
        <f ca="1" t="shared" si="35"/>
        <v>0</v>
      </c>
      <c r="AE82" s="92">
        <f ca="1" t="shared" si="35"/>
        <v>0</v>
      </c>
      <c r="AF82" s="92">
        <f ca="1" t="shared" si="35"/>
        <v>0</v>
      </c>
      <c r="AG82" s="92">
        <f ca="1" t="shared" si="35"/>
        <v>0</v>
      </c>
      <c r="AH82" s="92">
        <f ca="1" t="shared" si="35"/>
        <v>0</v>
      </c>
      <c r="AI82" s="92">
        <f ca="1" t="shared" si="35"/>
        <v>0</v>
      </c>
      <c r="AJ82" s="92">
        <f ca="1" t="shared" si="36"/>
        <v>0</v>
      </c>
      <c r="AK82" s="92">
        <f ca="1" t="shared" si="36"/>
        <v>0</v>
      </c>
      <c r="AL82" s="92">
        <f ca="1" t="shared" si="36"/>
        <v>0</v>
      </c>
      <c r="AM82" s="92">
        <f ca="1" t="shared" si="36"/>
        <v>0</v>
      </c>
      <c r="AN82" s="92">
        <f ca="1" t="shared" si="36"/>
        <v>0</v>
      </c>
      <c r="AO82" s="93">
        <f ca="1" t="shared" si="36"/>
        <v>0</v>
      </c>
    </row>
    <row r="83" spans="1:41" ht="12.75">
      <c r="A83" s="119">
        <f t="shared" si="28"/>
        <v>36770</v>
      </c>
      <c r="B83" s="120"/>
      <c r="C83" s="121"/>
      <c r="D83" s="92">
        <f t="shared" si="23"/>
        <v>295149</v>
      </c>
      <c r="E83" s="120"/>
      <c r="F83" s="92">
        <f ca="1" t="shared" si="33"/>
        <v>22590</v>
      </c>
      <c r="G83" s="92">
        <f ca="1" t="shared" si="33"/>
        <v>58928</v>
      </c>
      <c r="H83" s="92">
        <f ca="1" t="shared" si="33"/>
        <v>96720</v>
      </c>
      <c r="I83" s="92">
        <f ca="1" t="shared" si="33"/>
        <v>99302</v>
      </c>
      <c r="J83" s="92">
        <f ca="1" t="shared" si="33"/>
        <v>4745</v>
      </c>
      <c r="K83" s="92">
        <f ca="1" t="shared" si="33"/>
        <v>6492</v>
      </c>
      <c r="L83" s="92">
        <f ca="1" t="shared" si="33"/>
        <v>1096</v>
      </c>
      <c r="M83" s="92">
        <f ca="1" t="shared" si="33"/>
        <v>530</v>
      </c>
      <c r="N83" s="92">
        <f ca="1" t="shared" si="33"/>
        <v>56</v>
      </c>
      <c r="O83" s="92">
        <f ca="1" t="shared" si="33"/>
        <v>314</v>
      </c>
      <c r="P83" s="92">
        <f ca="1" t="shared" si="34"/>
        <v>-376</v>
      </c>
      <c r="Q83" s="92">
        <f ca="1" t="shared" si="34"/>
        <v>4466</v>
      </c>
      <c r="R83" s="92">
        <f ca="1" t="shared" si="34"/>
        <v>286</v>
      </c>
      <c r="S83" s="92">
        <f ca="1" t="shared" si="34"/>
        <v>0</v>
      </c>
      <c r="T83" s="92">
        <f ca="1" t="shared" si="34"/>
        <v>0</v>
      </c>
      <c r="U83" s="92">
        <f ca="1" t="shared" si="34"/>
        <v>0</v>
      </c>
      <c r="V83" s="92">
        <f ca="1" t="shared" si="34"/>
        <v>0</v>
      </c>
      <c r="W83" s="92">
        <f ca="1" t="shared" si="34"/>
        <v>0</v>
      </c>
      <c r="X83" s="92">
        <f ca="1" t="shared" si="34"/>
        <v>0</v>
      </c>
      <c r="Y83" s="92">
        <f ca="1" t="shared" si="34"/>
        <v>0</v>
      </c>
      <c r="Z83" s="92">
        <f ca="1" t="shared" si="35"/>
        <v>0</v>
      </c>
      <c r="AA83" s="92">
        <f ca="1" t="shared" si="35"/>
        <v>0</v>
      </c>
      <c r="AB83" s="92">
        <f ca="1" t="shared" si="35"/>
        <v>0</v>
      </c>
      <c r="AC83" s="92">
        <f ca="1" t="shared" si="35"/>
        <v>0</v>
      </c>
      <c r="AD83" s="92">
        <f ca="1" t="shared" si="35"/>
        <v>0</v>
      </c>
      <c r="AE83" s="92">
        <f ca="1" t="shared" si="35"/>
        <v>0</v>
      </c>
      <c r="AF83" s="92">
        <f ca="1" t="shared" si="35"/>
        <v>0</v>
      </c>
      <c r="AG83" s="92">
        <f ca="1" t="shared" si="35"/>
        <v>0</v>
      </c>
      <c r="AH83" s="92">
        <f ca="1" t="shared" si="35"/>
        <v>0</v>
      </c>
      <c r="AI83" s="92">
        <f ca="1" t="shared" si="35"/>
        <v>0</v>
      </c>
      <c r="AJ83" s="92">
        <f ca="1" t="shared" si="36"/>
        <v>0</v>
      </c>
      <c r="AK83" s="92">
        <f ca="1" t="shared" si="36"/>
        <v>0</v>
      </c>
      <c r="AL83" s="92">
        <f ca="1" t="shared" si="36"/>
        <v>0</v>
      </c>
      <c r="AM83" s="92">
        <f ca="1" t="shared" si="36"/>
        <v>0</v>
      </c>
      <c r="AN83" s="92">
        <f ca="1" t="shared" si="36"/>
        <v>0</v>
      </c>
      <c r="AO83" s="93">
        <f ca="1" t="shared" si="36"/>
        <v>0</v>
      </c>
    </row>
    <row r="84" spans="1:41" ht="12.75">
      <c r="A84" s="119">
        <f t="shared" si="28"/>
        <v>36800</v>
      </c>
      <c r="B84" s="120"/>
      <c r="C84" s="121"/>
      <c r="D84" s="92">
        <f t="shared" si="23"/>
        <v>344988</v>
      </c>
      <c r="E84" s="120"/>
      <c r="F84" s="92">
        <f ca="1" t="shared" si="33"/>
        <v>2217</v>
      </c>
      <c r="G84" s="92">
        <f ca="1" t="shared" si="33"/>
        <v>127706</v>
      </c>
      <c r="H84" s="92">
        <f ca="1" t="shared" si="33"/>
        <v>130303</v>
      </c>
      <c r="I84" s="92">
        <f ca="1" t="shared" si="33"/>
        <v>55381</v>
      </c>
      <c r="J84" s="92">
        <f ca="1" t="shared" si="33"/>
        <v>13877</v>
      </c>
      <c r="K84" s="92">
        <f ca="1" t="shared" si="33"/>
        <v>6586</v>
      </c>
      <c r="L84" s="92">
        <f ca="1" t="shared" si="33"/>
        <v>1428</v>
      </c>
      <c r="M84" s="92">
        <f ca="1" t="shared" si="33"/>
        <v>511</v>
      </c>
      <c r="N84" s="92">
        <f ca="1" t="shared" si="33"/>
        <v>991</v>
      </c>
      <c r="O84" s="92">
        <f ca="1" t="shared" si="33"/>
        <v>430</v>
      </c>
      <c r="P84" s="92">
        <f ca="1" t="shared" si="34"/>
        <v>204</v>
      </c>
      <c r="Q84" s="92">
        <f ca="1" t="shared" si="34"/>
        <v>4430</v>
      </c>
      <c r="R84" s="92">
        <f ca="1" t="shared" si="34"/>
        <v>924</v>
      </c>
      <c r="S84" s="92">
        <f ca="1" t="shared" si="34"/>
        <v>0</v>
      </c>
      <c r="T84" s="92">
        <f ca="1" t="shared" si="34"/>
        <v>0</v>
      </c>
      <c r="U84" s="92">
        <f ca="1" t="shared" si="34"/>
        <v>0</v>
      </c>
      <c r="V84" s="92">
        <f ca="1" t="shared" si="34"/>
        <v>0</v>
      </c>
      <c r="W84" s="92">
        <f ca="1" t="shared" si="34"/>
        <v>0</v>
      </c>
      <c r="X84" s="92">
        <f ca="1" t="shared" si="34"/>
        <v>0</v>
      </c>
      <c r="Y84" s="92">
        <f ca="1" t="shared" si="34"/>
        <v>0</v>
      </c>
      <c r="Z84" s="92">
        <f ca="1" t="shared" si="35"/>
        <v>0</v>
      </c>
      <c r="AA84" s="92">
        <f ca="1" t="shared" si="35"/>
        <v>0</v>
      </c>
      <c r="AB84" s="92">
        <f ca="1" t="shared" si="35"/>
        <v>0</v>
      </c>
      <c r="AC84" s="92">
        <f ca="1" t="shared" si="35"/>
        <v>0</v>
      </c>
      <c r="AD84" s="92">
        <f ca="1" t="shared" si="35"/>
        <v>0</v>
      </c>
      <c r="AE84" s="92">
        <f ca="1" t="shared" si="35"/>
        <v>0</v>
      </c>
      <c r="AF84" s="92">
        <f ca="1" t="shared" si="35"/>
        <v>0</v>
      </c>
      <c r="AG84" s="92">
        <f ca="1" t="shared" si="35"/>
        <v>0</v>
      </c>
      <c r="AH84" s="92">
        <f ca="1" t="shared" si="35"/>
        <v>0</v>
      </c>
      <c r="AI84" s="92">
        <f ca="1" t="shared" si="35"/>
        <v>0</v>
      </c>
      <c r="AJ84" s="92">
        <f ca="1" t="shared" si="36"/>
        <v>0</v>
      </c>
      <c r="AK84" s="92">
        <f ca="1" t="shared" si="36"/>
        <v>0</v>
      </c>
      <c r="AL84" s="92">
        <f ca="1" t="shared" si="36"/>
        <v>0</v>
      </c>
      <c r="AM84" s="92">
        <f ca="1" t="shared" si="36"/>
        <v>0</v>
      </c>
      <c r="AN84" s="92">
        <f ca="1" t="shared" si="36"/>
        <v>0</v>
      </c>
      <c r="AO84" s="93">
        <f ca="1" t="shared" si="36"/>
        <v>0</v>
      </c>
    </row>
    <row r="85" spans="1:41" ht="12.75">
      <c r="A85" s="119">
        <f t="shared" si="28"/>
        <v>36831</v>
      </c>
      <c r="B85" s="120"/>
      <c r="C85" s="121"/>
      <c r="D85" s="92">
        <f t="shared" si="23"/>
        <v>202345</v>
      </c>
      <c r="E85" s="120"/>
      <c r="F85" s="92">
        <f ca="1" t="shared" si="33"/>
        <v>19627</v>
      </c>
      <c r="G85" s="92">
        <f ca="1" t="shared" si="33"/>
        <v>50074</v>
      </c>
      <c r="H85" s="92">
        <f ca="1" t="shared" si="33"/>
        <v>52799</v>
      </c>
      <c r="I85" s="92">
        <f ca="1" t="shared" si="33"/>
        <v>52128</v>
      </c>
      <c r="J85" s="92">
        <f ca="1" t="shared" si="33"/>
        <v>3174</v>
      </c>
      <c r="K85" s="92">
        <f ca="1" t="shared" si="33"/>
        <v>20118</v>
      </c>
      <c r="L85" s="92">
        <f ca="1" t="shared" si="33"/>
        <v>1310</v>
      </c>
      <c r="M85" s="92">
        <f ca="1" t="shared" si="33"/>
        <v>616</v>
      </c>
      <c r="N85" s="92">
        <f ca="1" t="shared" si="33"/>
        <v>954</v>
      </c>
      <c r="O85" s="92">
        <f ca="1" t="shared" si="33"/>
        <v>30</v>
      </c>
      <c r="P85" s="92">
        <f ca="1" t="shared" si="34"/>
        <v>88</v>
      </c>
      <c r="Q85" s="92">
        <f ca="1" t="shared" si="34"/>
        <v>442</v>
      </c>
      <c r="R85" s="92">
        <f ca="1" t="shared" si="34"/>
        <v>900</v>
      </c>
      <c r="S85" s="92">
        <f ca="1" t="shared" si="34"/>
        <v>85</v>
      </c>
      <c r="T85" s="92">
        <f ca="1" t="shared" si="34"/>
        <v>0</v>
      </c>
      <c r="U85" s="92">
        <f ca="1" t="shared" si="34"/>
        <v>0</v>
      </c>
      <c r="V85" s="92">
        <f ca="1" t="shared" si="34"/>
        <v>0</v>
      </c>
      <c r="W85" s="92">
        <f ca="1" t="shared" si="34"/>
        <v>0</v>
      </c>
      <c r="X85" s="92">
        <f ca="1" t="shared" si="34"/>
        <v>0</v>
      </c>
      <c r="Y85" s="92">
        <f ca="1" t="shared" si="34"/>
        <v>0</v>
      </c>
      <c r="Z85" s="92">
        <f ca="1" t="shared" si="35"/>
        <v>0</v>
      </c>
      <c r="AA85" s="92">
        <f ca="1" t="shared" si="35"/>
        <v>0</v>
      </c>
      <c r="AB85" s="92">
        <f ca="1" t="shared" si="35"/>
        <v>0</v>
      </c>
      <c r="AC85" s="92">
        <f ca="1" t="shared" si="35"/>
        <v>0</v>
      </c>
      <c r="AD85" s="92">
        <f ca="1" t="shared" si="35"/>
        <v>0</v>
      </c>
      <c r="AE85" s="92">
        <f ca="1" t="shared" si="35"/>
        <v>0</v>
      </c>
      <c r="AF85" s="92">
        <f ca="1" t="shared" si="35"/>
        <v>0</v>
      </c>
      <c r="AG85" s="92">
        <f ca="1" t="shared" si="35"/>
        <v>0</v>
      </c>
      <c r="AH85" s="92">
        <f ca="1" t="shared" si="35"/>
        <v>0</v>
      </c>
      <c r="AI85" s="92">
        <f ca="1" t="shared" si="35"/>
        <v>0</v>
      </c>
      <c r="AJ85" s="92">
        <f ca="1" t="shared" si="36"/>
        <v>0</v>
      </c>
      <c r="AK85" s="92">
        <f ca="1" t="shared" si="36"/>
        <v>0</v>
      </c>
      <c r="AL85" s="92">
        <f ca="1" t="shared" si="36"/>
        <v>0</v>
      </c>
      <c r="AM85" s="92">
        <f ca="1" t="shared" si="36"/>
        <v>0</v>
      </c>
      <c r="AN85" s="92">
        <f ca="1" t="shared" si="36"/>
        <v>0</v>
      </c>
      <c r="AO85" s="93">
        <f ca="1" t="shared" si="36"/>
        <v>0</v>
      </c>
    </row>
    <row r="86" spans="1:41" ht="12.75">
      <c r="A86" s="119">
        <f t="shared" si="28"/>
        <v>36861</v>
      </c>
      <c r="B86" s="120"/>
      <c r="C86" s="121"/>
      <c r="D86" s="92">
        <f t="shared" si="23"/>
        <v>216483</v>
      </c>
      <c r="E86" s="120"/>
      <c r="F86" s="92">
        <f ca="1" t="shared" si="33"/>
        <v>5402</v>
      </c>
      <c r="G86" s="92">
        <f ca="1" t="shared" si="33"/>
        <v>78051</v>
      </c>
      <c r="H86" s="92">
        <f ca="1" t="shared" si="33"/>
        <v>38342</v>
      </c>
      <c r="I86" s="92">
        <f ca="1" t="shared" si="33"/>
        <v>53458</v>
      </c>
      <c r="J86" s="92">
        <f ca="1" t="shared" si="33"/>
        <v>14870</v>
      </c>
      <c r="K86" s="92">
        <f ca="1" t="shared" si="33"/>
        <v>17865</v>
      </c>
      <c r="L86" s="92">
        <f ca="1" t="shared" si="33"/>
        <v>5661</v>
      </c>
      <c r="M86" s="92">
        <f ca="1" t="shared" si="33"/>
        <v>107</v>
      </c>
      <c r="N86" s="92">
        <f ca="1" t="shared" si="33"/>
        <v>53</v>
      </c>
      <c r="O86" s="92">
        <f ca="1" t="shared" si="33"/>
        <v>30</v>
      </c>
      <c r="P86" s="92">
        <f ca="1" t="shared" si="34"/>
        <v>0</v>
      </c>
      <c r="Q86" s="92">
        <f ca="1" t="shared" si="34"/>
        <v>538</v>
      </c>
      <c r="R86" s="92">
        <f ca="1" t="shared" si="34"/>
        <v>561</v>
      </c>
      <c r="S86" s="92">
        <f ca="1" t="shared" si="34"/>
        <v>85</v>
      </c>
      <c r="T86" s="92">
        <f ca="1" t="shared" si="34"/>
        <v>1460</v>
      </c>
      <c r="U86" s="92">
        <f ca="1" t="shared" si="34"/>
        <v>0</v>
      </c>
      <c r="V86" s="92">
        <f ca="1" t="shared" si="34"/>
        <v>0</v>
      </c>
      <c r="W86" s="92">
        <f ca="1" t="shared" si="34"/>
        <v>0</v>
      </c>
      <c r="X86" s="92">
        <f ca="1" t="shared" si="34"/>
        <v>0</v>
      </c>
      <c r="Y86" s="92">
        <f ca="1" t="shared" si="34"/>
        <v>0</v>
      </c>
      <c r="Z86" s="92">
        <f ca="1" t="shared" si="35"/>
        <v>0</v>
      </c>
      <c r="AA86" s="92">
        <f ca="1" t="shared" si="35"/>
        <v>0</v>
      </c>
      <c r="AB86" s="92">
        <f ca="1" t="shared" si="35"/>
        <v>0</v>
      </c>
      <c r="AC86" s="92">
        <f ca="1" t="shared" si="35"/>
        <v>0</v>
      </c>
      <c r="AD86" s="92">
        <f ca="1" t="shared" si="35"/>
        <v>0</v>
      </c>
      <c r="AE86" s="92">
        <f ca="1" t="shared" si="35"/>
        <v>0</v>
      </c>
      <c r="AF86" s="92">
        <f ca="1" t="shared" si="35"/>
        <v>0</v>
      </c>
      <c r="AG86" s="92">
        <f ca="1" t="shared" si="35"/>
        <v>0</v>
      </c>
      <c r="AH86" s="92">
        <f ca="1" t="shared" si="35"/>
        <v>0</v>
      </c>
      <c r="AI86" s="92">
        <f ca="1" t="shared" si="35"/>
        <v>0</v>
      </c>
      <c r="AJ86" s="92">
        <f ca="1" t="shared" si="36"/>
        <v>0</v>
      </c>
      <c r="AK86" s="92">
        <f ca="1" t="shared" si="36"/>
        <v>0</v>
      </c>
      <c r="AL86" s="92">
        <f ca="1" t="shared" si="36"/>
        <v>0</v>
      </c>
      <c r="AM86" s="92">
        <f ca="1" t="shared" si="36"/>
        <v>0</v>
      </c>
      <c r="AN86" s="92">
        <f ca="1" t="shared" si="36"/>
        <v>0</v>
      </c>
      <c r="AO86" s="93">
        <f ca="1" t="shared" si="36"/>
        <v>0</v>
      </c>
    </row>
    <row r="87" spans="1:41" ht="12.75">
      <c r="A87" s="119">
        <f t="shared" si="28"/>
        <v>36892</v>
      </c>
      <c r="B87" s="120"/>
      <c r="C87" s="121"/>
      <c r="D87" s="92">
        <f t="shared" si="23"/>
        <v>166798</v>
      </c>
      <c r="E87" s="120"/>
      <c r="F87" s="92">
        <f ca="1" t="shared" si="33"/>
        <v>15456</v>
      </c>
      <c r="G87" s="92">
        <f ca="1" t="shared" si="33"/>
        <v>16943</v>
      </c>
      <c r="H87" s="92">
        <f ca="1" t="shared" si="33"/>
        <v>32446</v>
      </c>
      <c r="I87" s="92">
        <f ca="1" t="shared" si="33"/>
        <v>59896</v>
      </c>
      <c r="J87" s="92">
        <f ca="1" t="shared" si="33"/>
        <v>8807</v>
      </c>
      <c r="K87" s="92">
        <f ca="1" t="shared" si="33"/>
        <v>3898</v>
      </c>
      <c r="L87" s="92">
        <f ca="1" t="shared" si="33"/>
        <v>5653</v>
      </c>
      <c r="M87" s="92">
        <f ca="1" t="shared" si="33"/>
        <v>21364</v>
      </c>
      <c r="N87" s="92">
        <f ca="1" t="shared" si="33"/>
        <v>20</v>
      </c>
      <c r="O87" s="92">
        <f ca="1" t="shared" si="33"/>
        <v>168</v>
      </c>
      <c r="P87" s="92">
        <f ca="1" t="shared" si="34"/>
        <v>0</v>
      </c>
      <c r="Q87" s="92">
        <f ca="1" t="shared" si="34"/>
        <v>0</v>
      </c>
      <c r="R87" s="92">
        <f ca="1" t="shared" si="34"/>
        <v>508</v>
      </c>
      <c r="S87" s="92">
        <f ca="1" t="shared" si="34"/>
        <v>179</v>
      </c>
      <c r="T87" s="92">
        <f ca="1" t="shared" si="34"/>
        <v>1460</v>
      </c>
      <c r="U87" s="92">
        <f ca="1" t="shared" si="34"/>
        <v>0</v>
      </c>
      <c r="V87" s="92">
        <f ca="1" t="shared" si="34"/>
        <v>0</v>
      </c>
      <c r="W87" s="92">
        <f ca="1" t="shared" si="34"/>
        <v>0</v>
      </c>
      <c r="X87" s="92">
        <f ca="1" t="shared" si="34"/>
        <v>0</v>
      </c>
      <c r="Y87" s="92">
        <f ca="1" t="shared" si="34"/>
        <v>0</v>
      </c>
      <c r="Z87" s="92">
        <f ca="1" t="shared" si="35"/>
        <v>0</v>
      </c>
      <c r="AA87" s="92">
        <f ca="1" t="shared" si="35"/>
        <v>0</v>
      </c>
      <c r="AB87" s="92">
        <f ca="1" t="shared" si="35"/>
        <v>0</v>
      </c>
      <c r="AC87" s="92">
        <f ca="1" t="shared" si="35"/>
        <v>0</v>
      </c>
      <c r="AD87" s="92">
        <f ca="1" t="shared" si="35"/>
        <v>0</v>
      </c>
      <c r="AE87" s="92">
        <f ca="1" t="shared" si="35"/>
        <v>0</v>
      </c>
      <c r="AF87" s="92">
        <f ca="1" t="shared" si="35"/>
        <v>0</v>
      </c>
      <c r="AG87" s="92">
        <f ca="1" t="shared" si="35"/>
        <v>0</v>
      </c>
      <c r="AH87" s="92">
        <f ca="1" t="shared" si="35"/>
        <v>0</v>
      </c>
      <c r="AI87" s="92">
        <f ca="1" t="shared" si="35"/>
        <v>0</v>
      </c>
      <c r="AJ87" s="92">
        <f ca="1" t="shared" si="36"/>
        <v>0</v>
      </c>
      <c r="AK87" s="92">
        <f ca="1" t="shared" si="36"/>
        <v>0</v>
      </c>
      <c r="AL87" s="92">
        <f ca="1" t="shared" si="36"/>
        <v>0</v>
      </c>
      <c r="AM87" s="92">
        <f ca="1" t="shared" si="36"/>
        <v>0</v>
      </c>
      <c r="AN87" s="92">
        <f ca="1" t="shared" si="36"/>
        <v>0</v>
      </c>
      <c r="AO87" s="93">
        <f ca="1" t="shared" si="36"/>
        <v>0</v>
      </c>
    </row>
    <row r="88" spans="1:41" ht="12.75">
      <c r="A88" s="119">
        <f t="shared" si="28"/>
        <v>36923</v>
      </c>
      <c r="B88" s="120"/>
      <c r="C88" s="121"/>
      <c r="D88" s="92">
        <f t="shared" si="23"/>
        <v>136721</v>
      </c>
      <c r="E88" s="120"/>
      <c r="F88" s="92">
        <f aca="true" ca="1" t="shared" si="37" ref="F88:O97">IF($A88="","",IF(OR(F$8&lt;=ROUND(DAYS360(ValDat,$A88,0)/30,0),F$8&gt;ROUND(DAYS360(ExpDat,$A88,0)/30,0)),0,OFFSET(F$45,MAX(-MNR,ROUND(DAYS360(ValDat,$A88,0)/30,0)-F$8+MEP-MNR),0,1,1)))</f>
        <v>544</v>
      </c>
      <c r="G88" s="92">
        <f ca="1" t="shared" si="37"/>
        <v>19047</v>
      </c>
      <c r="H88" s="92">
        <f ca="1" t="shared" si="37"/>
        <v>34607</v>
      </c>
      <c r="I88" s="92">
        <f ca="1" t="shared" si="37"/>
        <v>30039</v>
      </c>
      <c r="J88" s="92">
        <f ca="1" t="shared" si="37"/>
        <v>12140</v>
      </c>
      <c r="K88" s="92">
        <f ca="1" t="shared" si="37"/>
        <v>2747</v>
      </c>
      <c r="L88" s="92">
        <f ca="1" t="shared" si="37"/>
        <v>15681</v>
      </c>
      <c r="M88" s="92">
        <f ca="1" t="shared" si="37"/>
        <v>21419</v>
      </c>
      <c r="N88" s="92">
        <f ca="1" t="shared" si="37"/>
        <v>159</v>
      </c>
      <c r="O88" s="92">
        <f ca="1" t="shared" si="37"/>
        <v>168</v>
      </c>
      <c r="P88" s="92">
        <f aca="true" ca="1" t="shared" si="38" ref="P88:Y97">IF($A88="","",IF(OR(P$8&lt;=ROUND(DAYS360(ValDat,$A88,0)/30,0),P$8&gt;ROUND(DAYS360(ExpDat,$A88,0)/30,0)),0,OFFSET(P$45,MAX(-MNR,ROUND(DAYS360(ValDat,$A88,0)/30,0)-P$8+MEP-MNR),0,1,1)))</f>
        <v>0</v>
      </c>
      <c r="Q88" s="92">
        <f ca="1" t="shared" si="38"/>
        <v>0</v>
      </c>
      <c r="R88" s="92">
        <f ca="1" t="shared" si="38"/>
        <v>0</v>
      </c>
      <c r="S88" s="92">
        <f ca="1" t="shared" si="38"/>
        <v>153</v>
      </c>
      <c r="T88" s="92">
        <f ca="1" t="shared" si="38"/>
        <v>17</v>
      </c>
      <c r="U88" s="92">
        <f ca="1" t="shared" si="38"/>
        <v>0</v>
      </c>
      <c r="V88" s="92">
        <f ca="1" t="shared" si="38"/>
        <v>0</v>
      </c>
      <c r="W88" s="92">
        <f ca="1" t="shared" si="38"/>
        <v>0</v>
      </c>
      <c r="X88" s="92">
        <f ca="1" t="shared" si="38"/>
        <v>0</v>
      </c>
      <c r="Y88" s="92">
        <f ca="1" t="shared" si="38"/>
        <v>0</v>
      </c>
      <c r="Z88" s="92">
        <f aca="true" ca="1" t="shared" si="39" ref="Z88:AI97">IF($A88="","",IF(OR(Z$8&lt;=ROUND(DAYS360(ValDat,$A88,0)/30,0),Z$8&gt;ROUND(DAYS360(ExpDat,$A88,0)/30,0)),0,OFFSET(Z$45,MAX(-MNR,ROUND(DAYS360(ValDat,$A88,0)/30,0)-Z$8+MEP-MNR),0,1,1)))</f>
        <v>0</v>
      </c>
      <c r="AA88" s="92">
        <f ca="1" t="shared" si="39"/>
        <v>0</v>
      </c>
      <c r="AB88" s="92">
        <f ca="1" t="shared" si="39"/>
        <v>0</v>
      </c>
      <c r="AC88" s="92">
        <f ca="1" t="shared" si="39"/>
        <v>0</v>
      </c>
      <c r="AD88" s="92">
        <f ca="1" t="shared" si="39"/>
        <v>0</v>
      </c>
      <c r="AE88" s="92">
        <f ca="1" t="shared" si="39"/>
        <v>0</v>
      </c>
      <c r="AF88" s="92">
        <f ca="1" t="shared" si="39"/>
        <v>0</v>
      </c>
      <c r="AG88" s="92">
        <f ca="1" t="shared" si="39"/>
        <v>0</v>
      </c>
      <c r="AH88" s="92">
        <f ca="1" t="shared" si="39"/>
        <v>0</v>
      </c>
      <c r="AI88" s="92">
        <f ca="1" t="shared" si="39"/>
        <v>0</v>
      </c>
      <c r="AJ88" s="92">
        <f aca="true" ca="1" t="shared" si="40" ref="AJ88:AO97">IF($A88="","",IF(OR(AJ$8&lt;=ROUND(DAYS360(ValDat,$A88,0)/30,0),AJ$8&gt;ROUND(DAYS360(ExpDat,$A88,0)/30,0)),0,OFFSET(AJ$45,MAX(-MNR,ROUND(DAYS360(ValDat,$A88,0)/30,0)-AJ$8+MEP-MNR),0,1,1)))</f>
        <v>0</v>
      </c>
      <c r="AK88" s="92">
        <f ca="1" t="shared" si="40"/>
        <v>0</v>
      </c>
      <c r="AL88" s="92">
        <f ca="1" t="shared" si="40"/>
        <v>0</v>
      </c>
      <c r="AM88" s="92">
        <f ca="1" t="shared" si="40"/>
        <v>0</v>
      </c>
      <c r="AN88" s="92">
        <f ca="1" t="shared" si="40"/>
        <v>0</v>
      </c>
      <c r="AO88" s="93">
        <f ca="1" t="shared" si="40"/>
        <v>0</v>
      </c>
    </row>
    <row r="89" spans="1:41" ht="12.75">
      <c r="A89" s="119">
        <f t="shared" si="28"/>
        <v>36951</v>
      </c>
      <c r="B89" s="120"/>
      <c r="C89" s="121"/>
      <c r="D89" s="92">
        <f t="shared" si="23"/>
        <v>78419</v>
      </c>
      <c r="E89" s="120"/>
      <c r="F89" s="92">
        <f ca="1" t="shared" si="37"/>
        <v>8442</v>
      </c>
      <c r="G89" s="92">
        <f ca="1" t="shared" si="37"/>
        <v>16998</v>
      </c>
      <c r="H89" s="92">
        <f ca="1" t="shared" si="37"/>
        <v>26813</v>
      </c>
      <c r="I89" s="92">
        <f ca="1" t="shared" si="37"/>
        <v>6988</v>
      </c>
      <c r="J89" s="92">
        <f ca="1" t="shared" si="37"/>
        <v>3104</v>
      </c>
      <c r="K89" s="92">
        <f ca="1" t="shared" si="37"/>
        <v>3146</v>
      </c>
      <c r="L89" s="92">
        <f ca="1" t="shared" si="37"/>
        <v>11162</v>
      </c>
      <c r="M89" s="92">
        <f ca="1" t="shared" si="37"/>
        <v>1013</v>
      </c>
      <c r="N89" s="92">
        <f ca="1" t="shared" si="37"/>
        <v>0</v>
      </c>
      <c r="O89" s="92">
        <f ca="1" t="shared" si="37"/>
        <v>480</v>
      </c>
      <c r="P89" s="92">
        <f ca="1" t="shared" si="38"/>
        <v>0</v>
      </c>
      <c r="Q89" s="92">
        <f ca="1" t="shared" si="38"/>
        <v>0</v>
      </c>
      <c r="R89" s="92">
        <f ca="1" t="shared" si="38"/>
        <v>0</v>
      </c>
      <c r="S89" s="92">
        <f ca="1" t="shared" si="38"/>
        <v>0</v>
      </c>
      <c r="T89" s="92">
        <f ca="1" t="shared" si="38"/>
        <v>0</v>
      </c>
      <c r="U89" s="92">
        <f ca="1" t="shared" si="38"/>
        <v>273</v>
      </c>
      <c r="V89" s="92">
        <f ca="1" t="shared" si="38"/>
        <v>0</v>
      </c>
      <c r="W89" s="92">
        <f ca="1" t="shared" si="38"/>
        <v>0</v>
      </c>
      <c r="X89" s="92">
        <f ca="1" t="shared" si="38"/>
        <v>0</v>
      </c>
      <c r="Y89" s="92">
        <f ca="1" t="shared" si="38"/>
        <v>0</v>
      </c>
      <c r="Z89" s="92">
        <f ca="1" t="shared" si="39"/>
        <v>0</v>
      </c>
      <c r="AA89" s="92">
        <f ca="1" t="shared" si="39"/>
        <v>0</v>
      </c>
      <c r="AB89" s="92">
        <f ca="1" t="shared" si="39"/>
        <v>0</v>
      </c>
      <c r="AC89" s="92">
        <f ca="1" t="shared" si="39"/>
        <v>0</v>
      </c>
      <c r="AD89" s="92">
        <f ca="1" t="shared" si="39"/>
        <v>0</v>
      </c>
      <c r="AE89" s="92">
        <f ca="1" t="shared" si="39"/>
        <v>0</v>
      </c>
      <c r="AF89" s="92">
        <f ca="1" t="shared" si="39"/>
        <v>0</v>
      </c>
      <c r="AG89" s="92">
        <f ca="1" t="shared" si="39"/>
        <v>0</v>
      </c>
      <c r="AH89" s="92">
        <f ca="1" t="shared" si="39"/>
        <v>0</v>
      </c>
      <c r="AI89" s="92">
        <f ca="1" t="shared" si="39"/>
        <v>0</v>
      </c>
      <c r="AJ89" s="92">
        <f ca="1" t="shared" si="40"/>
        <v>0</v>
      </c>
      <c r="AK89" s="92">
        <f ca="1" t="shared" si="40"/>
        <v>0</v>
      </c>
      <c r="AL89" s="92">
        <f ca="1" t="shared" si="40"/>
        <v>0</v>
      </c>
      <c r="AM89" s="92">
        <f ca="1" t="shared" si="40"/>
        <v>0</v>
      </c>
      <c r="AN89" s="92">
        <f ca="1" t="shared" si="40"/>
        <v>0</v>
      </c>
      <c r="AO89" s="93">
        <f ca="1" t="shared" si="40"/>
        <v>0</v>
      </c>
    </row>
    <row r="90" spans="1:41" ht="12.75">
      <c r="A90" s="119">
        <f t="shared" si="28"/>
        <v>36982</v>
      </c>
      <c r="B90" s="120"/>
      <c r="C90" s="121"/>
      <c r="D90" s="92">
        <f t="shared" si="23"/>
        <v>114270</v>
      </c>
      <c r="E90" s="120"/>
      <c r="F90" s="92">
        <f ca="1" t="shared" si="37"/>
        <v>1180</v>
      </c>
      <c r="G90" s="92">
        <f ca="1" t="shared" si="37"/>
        <v>51447</v>
      </c>
      <c r="H90" s="92">
        <f ca="1" t="shared" si="37"/>
        <v>37793</v>
      </c>
      <c r="I90" s="92">
        <f ca="1" t="shared" si="37"/>
        <v>7995</v>
      </c>
      <c r="J90" s="92">
        <f ca="1" t="shared" si="37"/>
        <v>3602</v>
      </c>
      <c r="K90" s="92">
        <f ca="1" t="shared" si="37"/>
        <v>8621</v>
      </c>
      <c r="L90" s="92">
        <f ca="1" t="shared" si="37"/>
        <v>1154</v>
      </c>
      <c r="M90" s="92">
        <f ca="1" t="shared" si="37"/>
        <v>581</v>
      </c>
      <c r="N90" s="92">
        <f ca="1" t="shared" si="37"/>
        <v>981</v>
      </c>
      <c r="O90" s="92">
        <f ca="1" t="shared" si="37"/>
        <v>480</v>
      </c>
      <c r="P90" s="92">
        <f ca="1" t="shared" si="38"/>
        <v>28</v>
      </c>
      <c r="Q90" s="92">
        <f ca="1" t="shared" si="38"/>
        <v>0</v>
      </c>
      <c r="R90" s="92">
        <f ca="1" t="shared" si="38"/>
        <v>0</v>
      </c>
      <c r="S90" s="92">
        <f ca="1" t="shared" si="38"/>
        <v>0</v>
      </c>
      <c r="T90" s="92">
        <f ca="1" t="shared" si="38"/>
        <v>0</v>
      </c>
      <c r="U90" s="92">
        <f ca="1" t="shared" si="38"/>
        <v>273</v>
      </c>
      <c r="V90" s="92">
        <f ca="1" t="shared" si="38"/>
        <v>135</v>
      </c>
      <c r="W90" s="92">
        <f ca="1" t="shared" si="38"/>
        <v>0</v>
      </c>
      <c r="X90" s="92">
        <f ca="1" t="shared" si="38"/>
        <v>0</v>
      </c>
      <c r="Y90" s="92">
        <f ca="1" t="shared" si="38"/>
        <v>0</v>
      </c>
      <c r="Z90" s="92">
        <f ca="1" t="shared" si="39"/>
        <v>0</v>
      </c>
      <c r="AA90" s="92">
        <f ca="1" t="shared" si="39"/>
        <v>0</v>
      </c>
      <c r="AB90" s="92">
        <f ca="1" t="shared" si="39"/>
        <v>0</v>
      </c>
      <c r="AC90" s="92">
        <f ca="1" t="shared" si="39"/>
        <v>0</v>
      </c>
      <c r="AD90" s="92">
        <f ca="1" t="shared" si="39"/>
        <v>0</v>
      </c>
      <c r="AE90" s="92">
        <f ca="1" t="shared" si="39"/>
        <v>0</v>
      </c>
      <c r="AF90" s="92">
        <f ca="1" t="shared" si="39"/>
        <v>0</v>
      </c>
      <c r="AG90" s="92">
        <f ca="1" t="shared" si="39"/>
        <v>0</v>
      </c>
      <c r="AH90" s="92">
        <f ca="1" t="shared" si="39"/>
        <v>0</v>
      </c>
      <c r="AI90" s="92">
        <f ca="1" t="shared" si="39"/>
        <v>0</v>
      </c>
      <c r="AJ90" s="92">
        <f ca="1" t="shared" si="40"/>
        <v>0</v>
      </c>
      <c r="AK90" s="92">
        <f ca="1" t="shared" si="40"/>
        <v>0</v>
      </c>
      <c r="AL90" s="92">
        <f ca="1" t="shared" si="40"/>
        <v>0</v>
      </c>
      <c r="AM90" s="92">
        <f ca="1" t="shared" si="40"/>
        <v>0</v>
      </c>
      <c r="AN90" s="92">
        <f ca="1" t="shared" si="40"/>
        <v>0</v>
      </c>
      <c r="AO90" s="93">
        <f ca="1" t="shared" si="40"/>
        <v>0</v>
      </c>
    </row>
    <row r="91" spans="1:41" ht="12.75">
      <c r="A91" s="119">
        <f t="shared" si="28"/>
        <v>37012</v>
      </c>
      <c r="B91" s="120"/>
      <c r="C91" s="121"/>
      <c r="D91" s="92">
        <f t="shared" si="23"/>
        <v>141251</v>
      </c>
      <c r="E91" s="120"/>
      <c r="F91" s="92">
        <f ca="1" t="shared" si="37"/>
        <v>24336</v>
      </c>
      <c r="G91" s="92">
        <f ca="1" t="shared" si="37"/>
        <v>33425</v>
      </c>
      <c r="H91" s="92">
        <f ca="1" t="shared" si="37"/>
        <v>16192</v>
      </c>
      <c r="I91" s="92">
        <f ca="1" t="shared" si="37"/>
        <v>49731</v>
      </c>
      <c r="J91" s="92">
        <f ca="1" t="shared" si="37"/>
        <v>520</v>
      </c>
      <c r="K91" s="92">
        <f ca="1" t="shared" si="37"/>
        <v>2116</v>
      </c>
      <c r="L91" s="92">
        <f ca="1" t="shared" si="37"/>
        <v>1405</v>
      </c>
      <c r="M91" s="92">
        <f ca="1" t="shared" si="37"/>
        <v>9723</v>
      </c>
      <c r="N91" s="92">
        <f ca="1" t="shared" si="37"/>
        <v>1025</v>
      </c>
      <c r="O91" s="92">
        <f ca="1" t="shared" si="37"/>
        <v>121</v>
      </c>
      <c r="P91" s="92">
        <f ca="1" t="shared" si="38"/>
        <v>702</v>
      </c>
      <c r="Q91" s="92">
        <f ca="1" t="shared" si="38"/>
        <v>693</v>
      </c>
      <c r="R91" s="92">
        <f ca="1" t="shared" si="38"/>
        <v>0</v>
      </c>
      <c r="S91" s="92">
        <f ca="1" t="shared" si="38"/>
        <v>0</v>
      </c>
      <c r="T91" s="92">
        <f ca="1" t="shared" si="38"/>
        <v>0</v>
      </c>
      <c r="U91" s="92">
        <f ca="1" t="shared" si="38"/>
        <v>791</v>
      </c>
      <c r="V91" s="92">
        <f ca="1" t="shared" si="38"/>
        <v>303</v>
      </c>
      <c r="W91" s="92">
        <f ca="1" t="shared" si="38"/>
        <v>168</v>
      </c>
      <c r="X91" s="92">
        <f ca="1" t="shared" si="38"/>
        <v>0</v>
      </c>
      <c r="Y91" s="92">
        <f ca="1" t="shared" si="38"/>
        <v>0</v>
      </c>
      <c r="Z91" s="92">
        <f ca="1" t="shared" si="39"/>
        <v>0</v>
      </c>
      <c r="AA91" s="92">
        <f ca="1" t="shared" si="39"/>
        <v>0</v>
      </c>
      <c r="AB91" s="92">
        <f ca="1" t="shared" si="39"/>
        <v>0</v>
      </c>
      <c r="AC91" s="92">
        <f ca="1" t="shared" si="39"/>
        <v>0</v>
      </c>
      <c r="AD91" s="92">
        <f ca="1" t="shared" si="39"/>
        <v>0</v>
      </c>
      <c r="AE91" s="92">
        <f ca="1" t="shared" si="39"/>
        <v>0</v>
      </c>
      <c r="AF91" s="92">
        <f ca="1" t="shared" si="39"/>
        <v>0</v>
      </c>
      <c r="AG91" s="92">
        <f ca="1" t="shared" si="39"/>
        <v>0</v>
      </c>
      <c r="AH91" s="92">
        <f ca="1" t="shared" si="39"/>
        <v>0</v>
      </c>
      <c r="AI91" s="92">
        <f ca="1" t="shared" si="39"/>
        <v>0</v>
      </c>
      <c r="AJ91" s="92">
        <f ca="1" t="shared" si="40"/>
        <v>0</v>
      </c>
      <c r="AK91" s="92">
        <f ca="1" t="shared" si="40"/>
        <v>0</v>
      </c>
      <c r="AL91" s="92">
        <f ca="1" t="shared" si="40"/>
        <v>0</v>
      </c>
      <c r="AM91" s="92">
        <f ca="1" t="shared" si="40"/>
        <v>0</v>
      </c>
      <c r="AN91" s="92">
        <f ca="1" t="shared" si="40"/>
        <v>0</v>
      </c>
      <c r="AO91" s="93">
        <f ca="1" t="shared" si="40"/>
        <v>0</v>
      </c>
    </row>
    <row r="92" spans="1:41" ht="12.75">
      <c r="A92" s="119">
        <f t="shared" si="28"/>
        <v>37043</v>
      </c>
      <c r="B92" s="120"/>
      <c r="C92" s="121"/>
      <c r="D92" s="92">
        <f t="shared" si="23"/>
        <v>175077</v>
      </c>
      <c r="E92" s="120"/>
      <c r="F92" s="92">
        <f ca="1" t="shared" si="37"/>
        <v>0</v>
      </c>
      <c r="G92" s="92">
        <f ca="1" t="shared" si="37"/>
        <v>38853</v>
      </c>
      <c r="H92" s="92">
        <f ca="1" t="shared" si="37"/>
        <v>35398</v>
      </c>
      <c r="I92" s="92">
        <f ca="1" t="shared" si="37"/>
        <v>58463</v>
      </c>
      <c r="J92" s="92">
        <f ca="1" t="shared" si="37"/>
        <v>28448</v>
      </c>
      <c r="K92" s="92">
        <f ca="1" t="shared" si="37"/>
        <v>1792</v>
      </c>
      <c r="L92" s="92">
        <f ca="1" t="shared" si="37"/>
        <v>7375</v>
      </c>
      <c r="M92" s="92">
        <f ca="1" t="shared" si="37"/>
        <v>3535</v>
      </c>
      <c r="N92" s="92">
        <f ca="1" t="shared" si="37"/>
        <v>403</v>
      </c>
      <c r="O92" s="92">
        <f ca="1" t="shared" si="37"/>
        <v>0</v>
      </c>
      <c r="P92" s="92">
        <f ca="1" t="shared" si="38"/>
        <v>0</v>
      </c>
      <c r="Q92" s="92">
        <f ca="1" t="shared" si="38"/>
        <v>19</v>
      </c>
      <c r="R92" s="92">
        <f ca="1" t="shared" si="38"/>
        <v>0</v>
      </c>
      <c r="S92" s="92">
        <f ca="1" t="shared" si="38"/>
        <v>0</v>
      </c>
      <c r="T92" s="92">
        <f ca="1" t="shared" si="38"/>
        <v>0</v>
      </c>
      <c r="U92" s="92">
        <f ca="1" t="shared" si="38"/>
        <v>791</v>
      </c>
      <c r="V92" s="92">
        <f ca="1" t="shared" si="38"/>
        <v>0</v>
      </c>
      <c r="W92" s="92">
        <f ca="1" t="shared" si="38"/>
        <v>0</v>
      </c>
      <c r="X92" s="92">
        <f ca="1" t="shared" si="38"/>
        <v>0</v>
      </c>
      <c r="Y92" s="92">
        <f ca="1" t="shared" si="38"/>
        <v>0</v>
      </c>
      <c r="Z92" s="92">
        <f ca="1" t="shared" si="39"/>
        <v>0</v>
      </c>
      <c r="AA92" s="92">
        <f ca="1" t="shared" si="39"/>
        <v>0</v>
      </c>
      <c r="AB92" s="92">
        <f ca="1" t="shared" si="39"/>
        <v>0</v>
      </c>
      <c r="AC92" s="92">
        <f ca="1" t="shared" si="39"/>
        <v>0</v>
      </c>
      <c r="AD92" s="92">
        <f ca="1" t="shared" si="39"/>
        <v>0</v>
      </c>
      <c r="AE92" s="92">
        <f ca="1" t="shared" si="39"/>
        <v>0</v>
      </c>
      <c r="AF92" s="92">
        <f ca="1" t="shared" si="39"/>
        <v>0</v>
      </c>
      <c r="AG92" s="92">
        <f ca="1" t="shared" si="39"/>
        <v>0</v>
      </c>
      <c r="AH92" s="92">
        <f ca="1" t="shared" si="39"/>
        <v>0</v>
      </c>
      <c r="AI92" s="92">
        <f ca="1" t="shared" si="39"/>
        <v>0</v>
      </c>
      <c r="AJ92" s="92">
        <f ca="1" t="shared" si="40"/>
        <v>0</v>
      </c>
      <c r="AK92" s="92">
        <f ca="1" t="shared" si="40"/>
        <v>0</v>
      </c>
      <c r="AL92" s="92">
        <f ca="1" t="shared" si="40"/>
        <v>0</v>
      </c>
      <c r="AM92" s="92">
        <f ca="1" t="shared" si="40"/>
        <v>0</v>
      </c>
      <c r="AN92" s="92">
        <f ca="1" t="shared" si="40"/>
        <v>0</v>
      </c>
      <c r="AO92" s="93">
        <f ca="1" t="shared" si="40"/>
        <v>0</v>
      </c>
    </row>
    <row r="93" spans="1:41" ht="12.75">
      <c r="A93" s="119">
        <f t="shared" si="28"/>
        <v>37073</v>
      </c>
      <c r="B93" s="120"/>
      <c r="C93" s="121"/>
      <c r="D93" s="92">
        <f t="shared" si="23"/>
        <v>58092</v>
      </c>
      <c r="E93" s="120"/>
      <c r="F93" s="92">
        <f ca="1" t="shared" si="37"/>
        <v>0</v>
      </c>
      <c r="G93" s="92">
        <f ca="1" t="shared" si="37"/>
        <v>0</v>
      </c>
      <c r="H93" s="92">
        <f ca="1" t="shared" si="37"/>
        <v>23133</v>
      </c>
      <c r="I93" s="92">
        <f ca="1" t="shared" si="37"/>
        <v>24109</v>
      </c>
      <c r="J93" s="92">
        <f ca="1" t="shared" si="37"/>
        <v>1725</v>
      </c>
      <c r="K93" s="92">
        <f ca="1" t="shared" si="37"/>
        <v>2175</v>
      </c>
      <c r="L93" s="92">
        <f ca="1" t="shared" si="37"/>
        <v>5685</v>
      </c>
      <c r="M93" s="92">
        <f ca="1" t="shared" si="37"/>
        <v>474</v>
      </c>
      <c r="N93" s="92">
        <f ca="1" t="shared" si="37"/>
        <v>707</v>
      </c>
      <c r="O93" s="92">
        <f ca="1" t="shared" si="37"/>
        <v>0</v>
      </c>
      <c r="P93" s="92">
        <f ca="1" t="shared" si="38"/>
        <v>0</v>
      </c>
      <c r="Q93" s="92">
        <f ca="1" t="shared" si="38"/>
        <v>84</v>
      </c>
      <c r="R93" s="92">
        <f ca="1" t="shared" si="38"/>
        <v>0</v>
      </c>
      <c r="S93" s="92">
        <f ca="1" t="shared" si="38"/>
        <v>0</v>
      </c>
      <c r="T93" s="92">
        <f ca="1" t="shared" si="38"/>
        <v>0</v>
      </c>
      <c r="U93" s="92">
        <f ca="1" t="shared" si="38"/>
        <v>0</v>
      </c>
      <c r="V93" s="92">
        <f ca="1" t="shared" si="38"/>
        <v>0</v>
      </c>
      <c r="W93" s="92">
        <f ca="1" t="shared" si="38"/>
        <v>0</v>
      </c>
      <c r="X93" s="92">
        <f ca="1" t="shared" si="38"/>
        <v>0</v>
      </c>
      <c r="Y93" s="92">
        <f ca="1" t="shared" si="38"/>
        <v>0</v>
      </c>
      <c r="Z93" s="92">
        <f ca="1" t="shared" si="39"/>
        <v>0</v>
      </c>
      <c r="AA93" s="92">
        <f ca="1" t="shared" si="39"/>
        <v>0</v>
      </c>
      <c r="AB93" s="92">
        <f ca="1" t="shared" si="39"/>
        <v>0</v>
      </c>
      <c r="AC93" s="92">
        <f ca="1" t="shared" si="39"/>
        <v>0</v>
      </c>
      <c r="AD93" s="92">
        <f ca="1" t="shared" si="39"/>
        <v>0</v>
      </c>
      <c r="AE93" s="92">
        <f ca="1" t="shared" si="39"/>
        <v>0</v>
      </c>
      <c r="AF93" s="92">
        <f ca="1" t="shared" si="39"/>
        <v>0</v>
      </c>
      <c r="AG93" s="92">
        <f ca="1" t="shared" si="39"/>
        <v>0</v>
      </c>
      <c r="AH93" s="92">
        <f ca="1" t="shared" si="39"/>
        <v>0</v>
      </c>
      <c r="AI93" s="92">
        <f ca="1" t="shared" si="39"/>
        <v>0</v>
      </c>
      <c r="AJ93" s="92">
        <f ca="1" t="shared" si="40"/>
        <v>0</v>
      </c>
      <c r="AK93" s="92">
        <f ca="1" t="shared" si="40"/>
        <v>0</v>
      </c>
      <c r="AL93" s="92">
        <f ca="1" t="shared" si="40"/>
        <v>0</v>
      </c>
      <c r="AM93" s="92">
        <f ca="1" t="shared" si="40"/>
        <v>0</v>
      </c>
      <c r="AN93" s="92">
        <f ca="1" t="shared" si="40"/>
        <v>0</v>
      </c>
      <c r="AO93" s="93">
        <f ca="1" t="shared" si="40"/>
        <v>0</v>
      </c>
    </row>
    <row r="94" spans="1:41" ht="12.75">
      <c r="A94" s="119">
        <f t="shared" si="28"/>
      </c>
      <c r="B94" s="120"/>
      <c r="C94" s="121"/>
      <c r="D94" s="92">
        <f t="shared" si="23"/>
      </c>
      <c r="E94" s="120"/>
      <c r="F94" s="92">
        <f ca="1" t="shared" si="37"/>
      </c>
      <c r="G94" s="92">
        <f ca="1" t="shared" si="37"/>
      </c>
      <c r="H94" s="92">
        <f ca="1" t="shared" si="37"/>
      </c>
      <c r="I94" s="92">
        <f ca="1" t="shared" si="37"/>
      </c>
      <c r="J94" s="92">
        <f ca="1" t="shared" si="37"/>
      </c>
      <c r="K94" s="92">
        <f ca="1" t="shared" si="37"/>
      </c>
      <c r="L94" s="92">
        <f ca="1" t="shared" si="37"/>
      </c>
      <c r="M94" s="92">
        <f ca="1" t="shared" si="37"/>
      </c>
      <c r="N94" s="92">
        <f ca="1" t="shared" si="37"/>
      </c>
      <c r="O94" s="92">
        <f ca="1" t="shared" si="37"/>
      </c>
      <c r="P94" s="92">
        <f ca="1" t="shared" si="38"/>
      </c>
      <c r="Q94" s="92">
        <f ca="1" t="shared" si="38"/>
      </c>
      <c r="R94" s="92">
        <f ca="1" t="shared" si="38"/>
      </c>
      <c r="S94" s="92">
        <f ca="1" t="shared" si="38"/>
      </c>
      <c r="T94" s="92">
        <f ca="1" t="shared" si="38"/>
      </c>
      <c r="U94" s="92">
        <f ca="1" t="shared" si="38"/>
      </c>
      <c r="V94" s="92">
        <f ca="1" t="shared" si="38"/>
      </c>
      <c r="W94" s="92">
        <f ca="1" t="shared" si="38"/>
      </c>
      <c r="X94" s="92">
        <f ca="1" t="shared" si="38"/>
      </c>
      <c r="Y94" s="92">
        <f ca="1" t="shared" si="38"/>
      </c>
      <c r="Z94" s="92">
        <f ca="1" t="shared" si="39"/>
      </c>
      <c r="AA94" s="92">
        <f ca="1" t="shared" si="39"/>
      </c>
      <c r="AB94" s="92">
        <f ca="1" t="shared" si="39"/>
      </c>
      <c r="AC94" s="92">
        <f ca="1" t="shared" si="39"/>
      </c>
      <c r="AD94" s="92">
        <f ca="1" t="shared" si="39"/>
      </c>
      <c r="AE94" s="92">
        <f ca="1" t="shared" si="39"/>
      </c>
      <c r="AF94" s="92">
        <f ca="1" t="shared" si="39"/>
      </c>
      <c r="AG94" s="92">
        <f ca="1" t="shared" si="39"/>
      </c>
      <c r="AH94" s="92">
        <f ca="1" t="shared" si="39"/>
      </c>
      <c r="AI94" s="92">
        <f ca="1" t="shared" si="39"/>
      </c>
      <c r="AJ94" s="92">
        <f ca="1" t="shared" si="40"/>
      </c>
      <c r="AK94" s="92">
        <f ca="1" t="shared" si="40"/>
      </c>
      <c r="AL94" s="92">
        <f ca="1" t="shared" si="40"/>
      </c>
      <c r="AM94" s="92">
        <f ca="1" t="shared" si="40"/>
      </c>
      <c r="AN94" s="92">
        <f ca="1" t="shared" si="40"/>
      </c>
      <c r="AO94" s="93">
        <f ca="1" t="shared" si="40"/>
      </c>
    </row>
    <row r="95" spans="1:41" ht="12.75">
      <c r="A95" s="119">
        <f t="shared" si="28"/>
      </c>
      <c r="B95" s="120"/>
      <c r="C95" s="121"/>
      <c r="D95" s="92">
        <f t="shared" si="23"/>
      </c>
      <c r="E95" s="120"/>
      <c r="F95" s="92">
        <f ca="1" t="shared" si="37"/>
      </c>
      <c r="G95" s="92">
        <f ca="1" t="shared" si="37"/>
      </c>
      <c r="H95" s="92">
        <f ca="1" t="shared" si="37"/>
      </c>
      <c r="I95" s="92">
        <f ca="1" t="shared" si="37"/>
      </c>
      <c r="J95" s="92">
        <f ca="1" t="shared" si="37"/>
      </c>
      <c r="K95" s="92">
        <f ca="1" t="shared" si="37"/>
      </c>
      <c r="L95" s="92">
        <f ca="1" t="shared" si="37"/>
      </c>
      <c r="M95" s="92">
        <f ca="1" t="shared" si="37"/>
      </c>
      <c r="N95" s="92">
        <f ca="1" t="shared" si="37"/>
      </c>
      <c r="O95" s="92">
        <f ca="1" t="shared" si="37"/>
      </c>
      <c r="P95" s="92">
        <f ca="1" t="shared" si="38"/>
      </c>
      <c r="Q95" s="92">
        <f ca="1" t="shared" si="38"/>
      </c>
      <c r="R95" s="92">
        <f ca="1" t="shared" si="38"/>
      </c>
      <c r="S95" s="92">
        <f ca="1" t="shared" si="38"/>
      </c>
      <c r="T95" s="92">
        <f ca="1" t="shared" si="38"/>
      </c>
      <c r="U95" s="92">
        <f ca="1" t="shared" si="38"/>
      </c>
      <c r="V95" s="92">
        <f ca="1" t="shared" si="38"/>
      </c>
      <c r="W95" s="92">
        <f ca="1" t="shared" si="38"/>
      </c>
      <c r="X95" s="92">
        <f ca="1" t="shared" si="38"/>
      </c>
      <c r="Y95" s="92">
        <f ca="1" t="shared" si="38"/>
      </c>
      <c r="Z95" s="92">
        <f ca="1" t="shared" si="39"/>
      </c>
      <c r="AA95" s="92">
        <f ca="1" t="shared" si="39"/>
      </c>
      <c r="AB95" s="92">
        <f ca="1" t="shared" si="39"/>
      </c>
      <c r="AC95" s="92">
        <f ca="1" t="shared" si="39"/>
      </c>
      <c r="AD95" s="92">
        <f ca="1" t="shared" si="39"/>
      </c>
      <c r="AE95" s="92">
        <f ca="1" t="shared" si="39"/>
      </c>
      <c r="AF95" s="92">
        <f ca="1" t="shared" si="39"/>
      </c>
      <c r="AG95" s="92">
        <f ca="1" t="shared" si="39"/>
      </c>
      <c r="AH95" s="92">
        <f ca="1" t="shared" si="39"/>
      </c>
      <c r="AI95" s="92">
        <f ca="1" t="shared" si="39"/>
      </c>
      <c r="AJ95" s="92">
        <f ca="1" t="shared" si="40"/>
      </c>
      <c r="AK95" s="92">
        <f ca="1" t="shared" si="40"/>
      </c>
      <c r="AL95" s="92">
        <f ca="1" t="shared" si="40"/>
      </c>
      <c r="AM95" s="92">
        <f ca="1" t="shared" si="40"/>
      </c>
      <c r="AN95" s="92">
        <f ca="1" t="shared" si="40"/>
      </c>
      <c r="AO95" s="93">
        <f ca="1" t="shared" si="40"/>
      </c>
    </row>
    <row r="96" spans="1:41" ht="12.75">
      <c r="A96" s="119">
        <f t="shared" si="28"/>
      </c>
      <c r="B96" s="120"/>
      <c r="C96" s="121"/>
      <c r="D96" s="92">
        <f t="shared" si="23"/>
      </c>
      <c r="E96" s="120"/>
      <c r="F96" s="92">
        <f ca="1" t="shared" si="37"/>
      </c>
      <c r="G96" s="92">
        <f ca="1" t="shared" si="37"/>
      </c>
      <c r="H96" s="92">
        <f ca="1" t="shared" si="37"/>
      </c>
      <c r="I96" s="92">
        <f ca="1" t="shared" si="37"/>
      </c>
      <c r="J96" s="92">
        <f ca="1" t="shared" si="37"/>
      </c>
      <c r="K96" s="92">
        <f ca="1" t="shared" si="37"/>
      </c>
      <c r="L96" s="92">
        <f ca="1" t="shared" si="37"/>
      </c>
      <c r="M96" s="92">
        <f ca="1" t="shared" si="37"/>
      </c>
      <c r="N96" s="92">
        <f ca="1" t="shared" si="37"/>
      </c>
      <c r="O96" s="92">
        <f ca="1" t="shared" si="37"/>
      </c>
      <c r="P96" s="92">
        <f ca="1" t="shared" si="38"/>
      </c>
      <c r="Q96" s="92">
        <f ca="1" t="shared" si="38"/>
      </c>
      <c r="R96" s="92">
        <f ca="1" t="shared" si="38"/>
      </c>
      <c r="S96" s="92">
        <f ca="1" t="shared" si="38"/>
      </c>
      <c r="T96" s="92">
        <f ca="1" t="shared" si="38"/>
      </c>
      <c r="U96" s="92">
        <f ca="1" t="shared" si="38"/>
      </c>
      <c r="V96" s="92">
        <f ca="1" t="shared" si="38"/>
      </c>
      <c r="W96" s="92">
        <f ca="1" t="shared" si="38"/>
      </c>
      <c r="X96" s="92">
        <f ca="1" t="shared" si="38"/>
      </c>
      <c r="Y96" s="92">
        <f ca="1" t="shared" si="38"/>
      </c>
      <c r="Z96" s="92">
        <f ca="1" t="shared" si="39"/>
      </c>
      <c r="AA96" s="92">
        <f ca="1" t="shared" si="39"/>
      </c>
      <c r="AB96" s="92">
        <f ca="1" t="shared" si="39"/>
      </c>
      <c r="AC96" s="92">
        <f ca="1" t="shared" si="39"/>
      </c>
      <c r="AD96" s="92">
        <f ca="1" t="shared" si="39"/>
      </c>
      <c r="AE96" s="92">
        <f ca="1" t="shared" si="39"/>
      </c>
      <c r="AF96" s="92">
        <f ca="1" t="shared" si="39"/>
      </c>
      <c r="AG96" s="92">
        <f ca="1" t="shared" si="39"/>
      </c>
      <c r="AH96" s="92">
        <f ca="1" t="shared" si="39"/>
      </c>
      <c r="AI96" s="92">
        <f ca="1" t="shared" si="39"/>
      </c>
      <c r="AJ96" s="92">
        <f ca="1" t="shared" si="40"/>
      </c>
      <c r="AK96" s="92">
        <f ca="1" t="shared" si="40"/>
      </c>
      <c r="AL96" s="92">
        <f ca="1" t="shared" si="40"/>
      </c>
      <c r="AM96" s="92">
        <f ca="1" t="shared" si="40"/>
      </c>
      <c r="AN96" s="92">
        <f ca="1" t="shared" si="40"/>
      </c>
      <c r="AO96" s="93">
        <f ca="1" t="shared" si="40"/>
      </c>
    </row>
    <row r="97" spans="1:41" ht="12.75">
      <c r="A97" s="119">
        <f t="shared" si="28"/>
      </c>
      <c r="B97" s="120"/>
      <c r="C97" s="121"/>
      <c r="D97" s="92">
        <f t="shared" si="23"/>
      </c>
      <c r="E97" s="120"/>
      <c r="F97" s="92">
        <f ca="1" t="shared" si="37"/>
      </c>
      <c r="G97" s="92">
        <f ca="1" t="shared" si="37"/>
      </c>
      <c r="H97" s="92">
        <f ca="1" t="shared" si="37"/>
      </c>
      <c r="I97" s="92">
        <f ca="1" t="shared" si="37"/>
      </c>
      <c r="J97" s="92">
        <f ca="1" t="shared" si="37"/>
      </c>
      <c r="K97" s="92">
        <f ca="1" t="shared" si="37"/>
      </c>
      <c r="L97" s="92">
        <f ca="1" t="shared" si="37"/>
      </c>
      <c r="M97" s="92">
        <f ca="1" t="shared" si="37"/>
      </c>
      <c r="N97" s="92">
        <f ca="1" t="shared" si="37"/>
      </c>
      <c r="O97" s="92">
        <f ca="1" t="shared" si="37"/>
      </c>
      <c r="P97" s="92">
        <f ca="1" t="shared" si="38"/>
      </c>
      <c r="Q97" s="92">
        <f ca="1" t="shared" si="38"/>
      </c>
      <c r="R97" s="92">
        <f ca="1" t="shared" si="38"/>
      </c>
      <c r="S97" s="92">
        <f ca="1" t="shared" si="38"/>
      </c>
      <c r="T97" s="92">
        <f ca="1" t="shared" si="38"/>
      </c>
      <c r="U97" s="92">
        <f ca="1" t="shared" si="38"/>
      </c>
      <c r="V97" s="92">
        <f ca="1" t="shared" si="38"/>
      </c>
      <c r="W97" s="92">
        <f ca="1" t="shared" si="38"/>
      </c>
      <c r="X97" s="92">
        <f ca="1" t="shared" si="38"/>
      </c>
      <c r="Y97" s="92">
        <f ca="1" t="shared" si="38"/>
      </c>
      <c r="Z97" s="92">
        <f ca="1" t="shared" si="39"/>
      </c>
      <c r="AA97" s="92">
        <f ca="1" t="shared" si="39"/>
      </c>
      <c r="AB97" s="92">
        <f ca="1" t="shared" si="39"/>
      </c>
      <c r="AC97" s="92">
        <f ca="1" t="shared" si="39"/>
      </c>
      <c r="AD97" s="92">
        <f ca="1" t="shared" si="39"/>
      </c>
      <c r="AE97" s="92">
        <f ca="1" t="shared" si="39"/>
      </c>
      <c r="AF97" s="92">
        <f ca="1" t="shared" si="39"/>
      </c>
      <c r="AG97" s="92">
        <f ca="1" t="shared" si="39"/>
      </c>
      <c r="AH97" s="92">
        <f ca="1" t="shared" si="39"/>
      </c>
      <c r="AI97" s="92">
        <f ca="1" t="shared" si="39"/>
      </c>
      <c r="AJ97" s="92">
        <f ca="1" t="shared" si="40"/>
      </c>
      <c r="AK97" s="92">
        <f ca="1" t="shared" si="40"/>
      </c>
      <c r="AL97" s="92">
        <f ca="1" t="shared" si="40"/>
      </c>
      <c r="AM97" s="92">
        <f ca="1" t="shared" si="40"/>
      </c>
      <c r="AN97" s="92">
        <f ca="1" t="shared" si="40"/>
      </c>
      <c r="AO97" s="93">
        <f ca="1" t="shared" si="40"/>
      </c>
    </row>
    <row r="98" spans="1:41" ht="12.75">
      <c r="A98" s="119">
        <f t="shared" si="28"/>
      </c>
      <c r="B98" s="120"/>
      <c r="C98" s="121"/>
      <c r="D98" s="92">
        <f t="shared" si="23"/>
      </c>
      <c r="E98" s="120"/>
      <c r="F98" s="92">
        <f aca="true" ca="1" t="shared" si="41" ref="F98:O105">IF($A98="","",IF(OR(F$8&lt;=ROUND(DAYS360(ValDat,$A98,0)/30,0),F$8&gt;ROUND(DAYS360(ExpDat,$A98,0)/30,0)),0,OFFSET(F$45,MAX(-MNR,ROUND(DAYS360(ValDat,$A98,0)/30,0)-F$8+MEP-MNR),0,1,1)))</f>
      </c>
      <c r="G98" s="92">
        <f ca="1" t="shared" si="41"/>
      </c>
      <c r="H98" s="92">
        <f ca="1" t="shared" si="41"/>
      </c>
      <c r="I98" s="92">
        <f ca="1" t="shared" si="41"/>
      </c>
      <c r="J98" s="92">
        <f ca="1" t="shared" si="41"/>
      </c>
      <c r="K98" s="92">
        <f ca="1" t="shared" si="41"/>
      </c>
      <c r="L98" s="92">
        <f ca="1" t="shared" si="41"/>
      </c>
      <c r="M98" s="92">
        <f ca="1" t="shared" si="41"/>
      </c>
      <c r="N98" s="92">
        <f ca="1" t="shared" si="41"/>
      </c>
      <c r="O98" s="92">
        <f ca="1" t="shared" si="41"/>
      </c>
      <c r="P98" s="92">
        <f aca="true" ca="1" t="shared" si="42" ref="P98:Y105">IF($A98="","",IF(OR(P$8&lt;=ROUND(DAYS360(ValDat,$A98,0)/30,0),P$8&gt;ROUND(DAYS360(ExpDat,$A98,0)/30,0)),0,OFFSET(P$45,MAX(-MNR,ROUND(DAYS360(ValDat,$A98,0)/30,0)-P$8+MEP-MNR),0,1,1)))</f>
      </c>
      <c r="Q98" s="92">
        <f ca="1" t="shared" si="42"/>
      </c>
      <c r="R98" s="92">
        <f ca="1" t="shared" si="42"/>
      </c>
      <c r="S98" s="92">
        <f ca="1" t="shared" si="42"/>
      </c>
      <c r="T98" s="92">
        <f ca="1" t="shared" si="42"/>
      </c>
      <c r="U98" s="92">
        <f ca="1" t="shared" si="42"/>
      </c>
      <c r="V98" s="92">
        <f ca="1" t="shared" si="42"/>
      </c>
      <c r="W98" s="92">
        <f ca="1" t="shared" si="42"/>
      </c>
      <c r="X98" s="92">
        <f ca="1" t="shared" si="42"/>
      </c>
      <c r="Y98" s="92">
        <f ca="1" t="shared" si="42"/>
      </c>
      <c r="Z98" s="92">
        <f aca="true" ca="1" t="shared" si="43" ref="Z98:AI105">IF($A98="","",IF(OR(Z$8&lt;=ROUND(DAYS360(ValDat,$A98,0)/30,0),Z$8&gt;ROUND(DAYS360(ExpDat,$A98,0)/30,0)),0,OFFSET(Z$45,MAX(-MNR,ROUND(DAYS360(ValDat,$A98,0)/30,0)-Z$8+MEP-MNR),0,1,1)))</f>
      </c>
      <c r="AA98" s="92">
        <f ca="1" t="shared" si="43"/>
      </c>
      <c r="AB98" s="92">
        <f ca="1" t="shared" si="43"/>
      </c>
      <c r="AC98" s="92">
        <f ca="1" t="shared" si="43"/>
      </c>
      <c r="AD98" s="92">
        <f ca="1" t="shared" si="43"/>
      </c>
      <c r="AE98" s="92">
        <f ca="1" t="shared" si="43"/>
      </c>
      <c r="AF98" s="92">
        <f ca="1" t="shared" si="43"/>
      </c>
      <c r="AG98" s="92">
        <f ca="1" t="shared" si="43"/>
      </c>
      <c r="AH98" s="92">
        <f ca="1" t="shared" si="43"/>
      </c>
      <c r="AI98" s="92">
        <f ca="1" t="shared" si="43"/>
      </c>
      <c r="AJ98" s="92">
        <f aca="true" ca="1" t="shared" si="44" ref="AJ98:AO105">IF($A98="","",IF(OR(AJ$8&lt;=ROUND(DAYS360(ValDat,$A98,0)/30,0),AJ$8&gt;ROUND(DAYS360(ExpDat,$A98,0)/30,0)),0,OFFSET(AJ$45,MAX(-MNR,ROUND(DAYS360(ValDat,$A98,0)/30,0)-AJ$8+MEP-MNR),0,1,1)))</f>
      </c>
      <c r="AK98" s="92">
        <f ca="1" t="shared" si="44"/>
      </c>
      <c r="AL98" s="92">
        <f ca="1" t="shared" si="44"/>
      </c>
      <c r="AM98" s="92">
        <f ca="1" t="shared" si="44"/>
      </c>
      <c r="AN98" s="92">
        <f ca="1" t="shared" si="44"/>
      </c>
      <c r="AO98" s="93">
        <f ca="1" t="shared" si="44"/>
      </c>
    </row>
    <row r="99" spans="1:41" ht="12.75">
      <c r="A99" s="119">
        <f t="shared" si="28"/>
      </c>
      <c r="B99" s="120"/>
      <c r="C99" s="121"/>
      <c r="D99" s="92">
        <f t="shared" si="23"/>
      </c>
      <c r="E99" s="120"/>
      <c r="F99" s="92">
        <f ca="1" t="shared" si="41"/>
      </c>
      <c r="G99" s="92">
        <f ca="1" t="shared" si="41"/>
      </c>
      <c r="H99" s="92">
        <f ca="1" t="shared" si="41"/>
      </c>
      <c r="I99" s="92">
        <f ca="1" t="shared" si="41"/>
      </c>
      <c r="J99" s="92">
        <f ca="1" t="shared" si="41"/>
      </c>
      <c r="K99" s="92">
        <f ca="1" t="shared" si="41"/>
      </c>
      <c r="L99" s="92">
        <f ca="1" t="shared" si="41"/>
      </c>
      <c r="M99" s="92">
        <f ca="1" t="shared" si="41"/>
      </c>
      <c r="N99" s="92">
        <f ca="1" t="shared" si="41"/>
      </c>
      <c r="O99" s="92">
        <f ca="1" t="shared" si="41"/>
      </c>
      <c r="P99" s="92">
        <f ca="1" t="shared" si="42"/>
      </c>
      <c r="Q99" s="92">
        <f ca="1" t="shared" si="42"/>
      </c>
      <c r="R99" s="92">
        <f ca="1" t="shared" si="42"/>
      </c>
      <c r="S99" s="92">
        <f ca="1" t="shared" si="42"/>
      </c>
      <c r="T99" s="92">
        <f ca="1" t="shared" si="42"/>
      </c>
      <c r="U99" s="92">
        <f ca="1" t="shared" si="42"/>
      </c>
      <c r="V99" s="92">
        <f ca="1" t="shared" si="42"/>
      </c>
      <c r="W99" s="92">
        <f ca="1" t="shared" si="42"/>
      </c>
      <c r="X99" s="92">
        <f ca="1" t="shared" si="42"/>
      </c>
      <c r="Y99" s="92">
        <f ca="1" t="shared" si="42"/>
      </c>
      <c r="Z99" s="92">
        <f ca="1" t="shared" si="43"/>
      </c>
      <c r="AA99" s="92">
        <f ca="1" t="shared" si="43"/>
      </c>
      <c r="AB99" s="92">
        <f ca="1" t="shared" si="43"/>
      </c>
      <c r="AC99" s="92">
        <f ca="1" t="shared" si="43"/>
      </c>
      <c r="AD99" s="92">
        <f ca="1" t="shared" si="43"/>
      </c>
      <c r="AE99" s="92">
        <f ca="1" t="shared" si="43"/>
      </c>
      <c r="AF99" s="92">
        <f ca="1" t="shared" si="43"/>
      </c>
      <c r="AG99" s="92">
        <f ca="1" t="shared" si="43"/>
      </c>
      <c r="AH99" s="92">
        <f ca="1" t="shared" si="43"/>
      </c>
      <c r="AI99" s="92">
        <f ca="1" t="shared" si="43"/>
      </c>
      <c r="AJ99" s="92">
        <f ca="1" t="shared" si="44"/>
      </c>
      <c r="AK99" s="92">
        <f ca="1" t="shared" si="44"/>
      </c>
      <c r="AL99" s="92">
        <f ca="1" t="shared" si="44"/>
      </c>
      <c r="AM99" s="92">
        <f ca="1" t="shared" si="44"/>
      </c>
      <c r="AN99" s="92">
        <f ca="1" t="shared" si="44"/>
      </c>
      <c r="AO99" s="93">
        <f ca="1" t="shared" si="44"/>
      </c>
    </row>
    <row r="100" spans="1:41" ht="12.75">
      <c r="A100" s="119">
        <f t="shared" si="28"/>
      </c>
      <c r="B100" s="120"/>
      <c r="C100" s="121"/>
      <c r="D100" s="92">
        <f t="shared" si="23"/>
      </c>
      <c r="E100" s="120"/>
      <c r="F100" s="92">
        <f ca="1" t="shared" si="41"/>
      </c>
      <c r="G100" s="92">
        <f ca="1" t="shared" si="41"/>
      </c>
      <c r="H100" s="92">
        <f ca="1" t="shared" si="41"/>
      </c>
      <c r="I100" s="92">
        <f ca="1" t="shared" si="41"/>
      </c>
      <c r="J100" s="92">
        <f ca="1" t="shared" si="41"/>
      </c>
      <c r="K100" s="92">
        <f ca="1" t="shared" si="41"/>
      </c>
      <c r="L100" s="92">
        <f ca="1" t="shared" si="41"/>
      </c>
      <c r="M100" s="92">
        <f ca="1" t="shared" si="41"/>
      </c>
      <c r="N100" s="92">
        <f ca="1" t="shared" si="41"/>
      </c>
      <c r="O100" s="92">
        <f ca="1" t="shared" si="41"/>
      </c>
      <c r="P100" s="92">
        <f ca="1" t="shared" si="42"/>
      </c>
      <c r="Q100" s="92">
        <f ca="1" t="shared" si="42"/>
      </c>
      <c r="R100" s="92">
        <f ca="1" t="shared" si="42"/>
      </c>
      <c r="S100" s="92">
        <f ca="1" t="shared" si="42"/>
      </c>
      <c r="T100" s="92">
        <f ca="1" t="shared" si="42"/>
      </c>
      <c r="U100" s="92">
        <f ca="1" t="shared" si="42"/>
      </c>
      <c r="V100" s="92">
        <f ca="1" t="shared" si="42"/>
      </c>
      <c r="W100" s="92">
        <f ca="1" t="shared" si="42"/>
      </c>
      <c r="X100" s="92">
        <f ca="1" t="shared" si="42"/>
      </c>
      <c r="Y100" s="92">
        <f ca="1" t="shared" si="42"/>
      </c>
      <c r="Z100" s="92">
        <f ca="1" t="shared" si="43"/>
      </c>
      <c r="AA100" s="92">
        <f ca="1" t="shared" si="43"/>
      </c>
      <c r="AB100" s="92">
        <f ca="1" t="shared" si="43"/>
      </c>
      <c r="AC100" s="92">
        <f ca="1" t="shared" si="43"/>
      </c>
      <c r="AD100" s="92">
        <f ca="1" t="shared" si="43"/>
      </c>
      <c r="AE100" s="92">
        <f ca="1" t="shared" si="43"/>
      </c>
      <c r="AF100" s="92">
        <f ca="1" t="shared" si="43"/>
      </c>
      <c r="AG100" s="92">
        <f ca="1" t="shared" si="43"/>
      </c>
      <c r="AH100" s="92">
        <f ca="1" t="shared" si="43"/>
      </c>
      <c r="AI100" s="92">
        <f ca="1" t="shared" si="43"/>
      </c>
      <c r="AJ100" s="92">
        <f ca="1" t="shared" si="44"/>
      </c>
      <c r="AK100" s="92">
        <f ca="1" t="shared" si="44"/>
      </c>
      <c r="AL100" s="92">
        <f ca="1" t="shared" si="44"/>
      </c>
      <c r="AM100" s="92">
        <f ca="1" t="shared" si="44"/>
      </c>
      <c r="AN100" s="92">
        <f ca="1" t="shared" si="44"/>
      </c>
      <c r="AO100" s="93">
        <f ca="1" t="shared" si="44"/>
      </c>
    </row>
    <row r="101" spans="1:41" ht="12.75">
      <c r="A101" s="119">
        <f t="shared" si="28"/>
      </c>
      <c r="B101" s="120"/>
      <c r="C101" s="121"/>
      <c r="D101" s="92">
        <f t="shared" si="23"/>
      </c>
      <c r="E101" s="120"/>
      <c r="F101" s="92">
        <f ca="1" t="shared" si="41"/>
      </c>
      <c r="G101" s="92">
        <f ca="1" t="shared" si="41"/>
      </c>
      <c r="H101" s="92">
        <f ca="1" t="shared" si="41"/>
      </c>
      <c r="I101" s="92">
        <f ca="1" t="shared" si="41"/>
      </c>
      <c r="J101" s="92">
        <f ca="1" t="shared" si="41"/>
      </c>
      <c r="K101" s="92">
        <f ca="1" t="shared" si="41"/>
      </c>
      <c r="L101" s="92">
        <f ca="1" t="shared" si="41"/>
      </c>
      <c r="M101" s="92">
        <f ca="1" t="shared" si="41"/>
      </c>
      <c r="N101" s="92">
        <f ca="1" t="shared" si="41"/>
      </c>
      <c r="O101" s="92">
        <f ca="1" t="shared" si="41"/>
      </c>
      <c r="P101" s="92">
        <f ca="1" t="shared" si="42"/>
      </c>
      <c r="Q101" s="92">
        <f ca="1" t="shared" si="42"/>
      </c>
      <c r="R101" s="92">
        <f ca="1" t="shared" si="42"/>
      </c>
      <c r="S101" s="92">
        <f ca="1" t="shared" si="42"/>
      </c>
      <c r="T101" s="92">
        <f ca="1" t="shared" si="42"/>
      </c>
      <c r="U101" s="92">
        <f ca="1" t="shared" si="42"/>
      </c>
      <c r="V101" s="92">
        <f ca="1" t="shared" si="42"/>
      </c>
      <c r="W101" s="92">
        <f ca="1" t="shared" si="42"/>
      </c>
      <c r="X101" s="92">
        <f ca="1" t="shared" si="42"/>
      </c>
      <c r="Y101" s="92">
        <f ca="1" t="shared" si="42"/>
      </c>
      <c r="Z101" s="92">
        <f ca="1" t="shared" si="43"/>
      </c>
      <c r="AA101" s="92">
        <f ca="1" t="shared" si="43"/>
      </c>
      <c r="AB101" s="92">
        <f ca="1" t="shared" si="43"/>
      </c>
      <c r="AC101" s="92">
        <f ca="1" t="shared" si="43"/>
      </c>
      <c r="AD101" s="92">
        <f ca="1" t="shared" si="43"/>
      </c>
      <c r="AE101" s="92">
        <f ca="1" t="shared" si="43"/>
      </c>
      <c r="AF101" s="92">
        <f ca="1" t="shared" si="43"/>
      </c>
      <c r="AG101" s="92">
        <f ca="1" t="shared" si="43"/>
      </c>
      <c r="AH101" s="92">
        <f ca="1" t="shared" si="43"/>
      </c>
      <c r="AI101" s="92">
        <f ca="1" t="shared" si="43"/>
      </c>
      <c r="AJ101" s="92">
        <f ca="1" t="shared" si="44"/>
      </c>
      <c r="AK101" s="92">
        <f ca="1" t="shared" si="44"/>
      </c>
      <c r="AL101" s="92">
        <f ca="1" t="shared" si="44"/>
      </c>
      <c r="AM101" s="92">
        <f ca="1" t="shared" si="44"/>
      </c>
      <c r="AN101" s="92">
        <f ca="1" t="shared" si="44"/>
      </c>
      <c r="AO101" s="93">
        <f ca="1" t="shared" si="44"/>
      </c>
    </row>
    <row r="102" spans="1:41" ht="12.75">
      <c r="A102" s="119">
        <f t="shared" si="28"/>
      </c>
      <c r="B102" s="120"/>
      <c r="C102" s="121"/>
      <c r="D102" s="92">
        <f t="shared" si="23"/>
      </c>
      <c r="E102" s="120"/>
      <c r="F102" s="92">
        <f ca="1" t="shared" si="41"/>
      </c>
      <c r="G102" s="92">
        <f ca="1" t="shared" si="41"/>
      </c>
      <c r="H102" s="92">
        <f ca="1" t="shared" si="41"/>
      </c>
      <c r="I102" s="92">
        <f ca="1" t="shared" si="41"/>
      </c>
      <c r="J102" s="92">
        <f ca="1" t="shared" si="41"/>
      </c>
      <c r="K102" s="92">
        <f ca="1" t="shared" si="41"/>
      </c>
      <c r="L102" s="92">
        <f ca="1" t="shared" si="41"/>
      </c>
      <c r="M102" s="92">
        <f ca="1" t="shared" si="41"/>
      </c>
      <c r="N102" s="92">
        <f ca="1" t="shared" si="41"/>
      </c>
      <c r="O102" s="92">
        <f ca="1" t="shared" si="41"/>
      </c>
      <c r="P102" s="92">
        <f ca="1" t="shared" si="42"/>
      </c>
      <c r="Q102" s="92">
        <f ca="1" t="shared" si="42"/>
      </c>
      <c r="R102" s="92">
        <f ca="1" t="shared" si="42"/>
      </c>
      <c r="S102" s="92">
        <f ca="1" t="shared" si="42"/>
      </c>
      <c r="T102" s="92">
        <f ca="1" t="shared" si="42"/>
      </c>
      <c r="U102" s="92">
        <f ca="1" t="shared" si="42"/>
      </c>
      <c r="V102" s="92">
        <f ca="1" t="shared" si="42"/>
      </c>
      <c r="W102" s="92">
        <f ca="1" t="shared" si="42"/>
      </c>
      <c r="X102" s="92">
        <f ca="1" t="shared" si="42"/>
      </c>
      <c r="Y102" s="92">
        <f ca="1" t="shared" si="42"/>
      </c>
      <c r="Z102" s="92">
        <f ca="1" t="shared" si="43"/>
      </c>
      <c r="AA102" s="92">
        <f ca="1" t="shared" si="43"/>
      </c>
      <c r="AB102" s="92">
        <f ca="1" t="shared" si="43"/>
      </c>
      <c r="AC102" s="92">
        <f ca="1" t="shared" si="43"/>
      </c>
      <c r="AD102" s="92">
        <f ca="1" t="shared" si="43"/>
      </c>
      <c r="AE102" s="92">
        <f ca="1" t="shared" si="43"/>
      </c>
      <c r="AF102" s="92">
        <f ca="1" t="shared" si="43"/>
      </c>
      <c r="AG102" s="92">
        <f ca="1" t="shared" si="43"/>
      </c>
      <c r="AH102" s="92">
        <f ca="1" t="shared" si="43"/>
      </c>
      <c r="AI102" s="92">
        <f ca="1" t="shared" si="43"/>
      </c>
      <c r="AJ102" s="92">
        <f ca="1" t="shared" si="44"/>
      </c>
      <c r="AK102" s="92">
        <f ca="1" t="shared" si="44"/>
      </c>
      <c r="AL102" s="92">
        <f ca="1" t="shared" si="44"/>
      </c>
      <c r="AM102" s="92">
        <f ca="1" t="shared" si="44"/>
      </c>
      <c r="AN102" s="92">
        <f ca="1" t="shared" si="44"/>
      </c>
      <c r="AO102" s="93">
        <f ca="1" t="shared" si="44"/>
      </c>
    </row>
    <row r="103" spans="1:41" ht="12.75">
      <c r="A103" s="119">
        <f t="shared" si="28"/>
      </c>
      <c r="B103" s="120"/>
      <c r="C103" s="121"/>
      <c r="D103" s="92">
        <f t="shared" si="23"/>
      </c>
      <c r="E103" s="120"/>
      <c r="F103" s="92">
        <f ca="1" t="shared" si="41"/>
      </c>
      <c r="G103" s="92">
        <f ca="1" t="shared" si="41"/>
      </c>
      <c r="H103" s="92">
        <f ca="1" t="shared" si="41"/>
      </c>
      <c r="I103" s="92">
        <f ca="1" t="shared" si="41"/>
      </c>
      <c r="J103" s="92">
        <f ca="1" t="shared" si="41"/>
      </c>
      <c r="K103" s="92">
        <f ca="1" t="shared" si="41"/>
      </c>
      <c r="L103" s="92">
        <f ca="1" t="shared" si="41"/>
      </c>
      <c r="M103" s="92">
        <f ca="1" t="shared" si="41"/>
      </c>
      <c r="N103" s="92">
        <f ca="1" t="shared" si="41"/>
      </c>
      <c r="O103" s="92">
        <f ca="1" t="shared" si="41"/>
      </c>
      <c r="P103" s="92">
        <f ca="1" t="shared" si="42"/>
      </c>
      <c r="Q103" s="92">
        <f ca="1" t="shared" si="42"/>
      </c>
      <c r="R103" s="92">
        <f ca="1" t="shared" si="42"/>
      </c>
      <c r="S103" s="92">
        <f ca="1" t="shared" si="42"/>
      </c>
      <c r="T103" s="92">
        <f ca="1" t="shared" si="42"/>
      </c>
      <c r="U103" s="92">
        <f ca="1" t="shared" si="42"/>
      </c>
      <c r="V103" s="92">
        <f ca="1" t="shared" si="42"/>
      </c>
      <c r="W103" s="92">
        <f ca="1" t="shared" si="42"/>
      </c>
      <c r="X103" s="92">
        <f ca="1" t="shared" si="42"/>
      </c>
      <c r="Y103" s="92">
        <f ca="1" t="shared" si="42"/>
      </c>
      <c r="Z103" s="92">
        <f ca="1" t="shared" si="43"/>
      </c>
      <c r="AA103" s="92">
        <f ca="1" t="shared" si="43"/>
      </c>
      <c r="AB103" s="92">
        <f ca="1" t="shared" si="43"/>
      </c>
      <c r="AC103" s="92">
        <f ca="1" t="shared" si="43"/>
      </c>
      <c r="AD103" s="92">
        <f ca="1" t="shared" si="43"/>
      </c>
      <c r="AE103" s="92">
        <f ca="1" t="shared" si="43"/>
      </c>
      <c r="AF103" s="92">
        <f ca="1" t="shared" si="43"/>
      </c>
      <c r="AG103" s="92">
        <f ca="1" t="shared" si="43"/>
      </c>
      <c r="AH103" s="92">
        <f ca="1" t="shared" si="43"/>
      </c>
      <c r="AI103" s="92">
        <f ca="1" t="shared" si="43"/>
      </c>
      <c r="AJ103" s="92">
        <f ca="1" t="shared" si="44"/>
      </c>
      <c r="AK103" s="92">
        <f ca="1" t="shared" si="44"/>
      </c>
      <c r="AL103" s="92">
        <f ca="1" t="shared" si="44"/>
      </c>
      <c r="AM103" s="92">
        <f ca="1" t="shared" si="44"/>
      </c>
      <c r="AN103" s="92">
        <f ca="1" t="shared" si="44"/>
      </c>
      <c r="AO103" s="93">
        <f ca="1" t="shared" si="44"/>
      </c>
    </row>
    <row r="104" spans="1:41" ht="12.75">
      <c r="A104" s="119">
        <f t="shared" si="28"/>
      </c>
      <c r="B104" s="120"/>
      <c r="C104" s="121"/>
      <c r="D104" s="92">
        <f t="shared" si="23"/>
      </c>
      <c r="E104" s="120"/>
      <c r="F104" s="92">
        <f ca="1" t="shared" si="41"/>
      </c>
      <c r="G104" s="92">
        <f ca="1" t="shared" si="41"/>
      </c>
      <c r="H104" s="92">
        <f ca="1" t="shared" si="41"/>
      </c>
      <c r="I104" s="92">
        <f ca="1" t="shared" si="41"/>
      </c>
      <c r="J104" s="92">
        <f ca="1" t="shared" si="41"/>
      </c>
      <c r="K104" s="92">
        <f ca="1" t="shared" si="41"/>
      </c>
      <c r="L104" s="92">
        <f ca="1" t="shared" si="41"/>
      </c>
      <c r="M104" s="92">
        <f ca="1" t="shared" si="41"/>
      </c>
      <c r="N104" s="92">
        <f ca="1" t="shared" si="41"/>
      </c>
      <c r="O104" s="92">
        <f ca="1" t="shared" si="41"/>
      </c>
      <c r="P104" s="92">
        <f ca="1" t="shared" si="42"/>
      </c>
      <c r="Q104" s="92">
        <f ca="1" t="shared" si="42"/>
      </c>
      <c r="R104" s="92">
        <f ca="1" t="shared" si="42"/>
      </c>
      <c r="S104" s="92">
        <f ca="1" t="shared" si="42"/>
      </c>
      <c r="T104" s="92">
        <f ca="1" t="shared" si="42"/>
      </c>
      <c r="U104" s="92">
        <f ca="1" t="shared" si="42"/>
      </c>
      <c r="V104" s="92">
        <f ca="1" t="shared" si="42"/>
      </c>
      <c r="W104" s="92">
        <f ca="1" t="shared" si="42"/>
      </c>
      <c r="X104" s="92">
        <f ca="1" t="shared" si="42"/>
      </c>
      <c r="Y104" s="92">
        <f ca="1" t="shared" si="42"/>
      </c>
      <c r="Z104" s="92">
        <f ca="1" t="shared" si="43"/>
      </c>
      <c r="AA104" s="92">
        <f ca="1" t="shared" si="43"/>
      </c>
      <c r="AB104" s="92">
        <f ca="1" t="shared" si="43"/>
      </c>
      <c r="AC104" s="92">
        <f ca="1" t="shared" si="43"/>
      </c>
      <c r="AD104" s="92">
        <f ca="1" t="shared" si="43"/>
      </c>
      <c r="AE104" s="92">
        <f ca="1" t="shared" si="43"/>
      </c>
      <c r="AF104" s="92">
        <f ca="1" t="shared" si="43"/>
      </c>
      <c r="AG104" s="92">
        <f ca="1" t="shared" si="43"/>
      </c>
      <c r="AH104" s="92">
        <f ca="1" t="shared" si="43"/>
      </c>
      <c r="AI104" s="92">
        <f ca="1" t="shared" si="43"/>
      </c>
      <c r="AJ104" s="92">
        <f ca="1" t="shared" si="44"/>
      </c>
      <c r="AK104" s="92">
        <f ca="1" t="shared" si="44"/>
      </c>
      <c r="AL104" s="92">
        <f ca="1" t="shared" si="44"/>
      </c>
      <c r="AM104" s="92">
        <f ca="1" t="shared" si="44"/>
      </c>
      <c r="AN104" s="92">
        <f ca="1" t="shared" si="44"/>
      </c>
      <c r="AO104" s="93">
        <f ca="1" t="shared" si="44"/>
      </c>
    </row>
    <row r="105" spans="1:41" ht="12.75">
      <c r="A105" s="119">
        <f t="shared" si="28"/>
      </c>
      <c r="B105" s="123"/>
      <c r="C105" s="124"/>
      <c r="D105" s="125">
        <f t="shared" si="23"/>
      </c>
      <c r="E105" s="123"/>
      <c r="F105" s="125">
        <f ca="1" t="shared" si="41"/>
      </c>
      <c r="G105" s="125">
        <f ca="1" t="shared" si="41"/>
      </c>
      <c r="H105" s="125">
        <f ca="1" t="shared" si="41"/>
      </c>
      <c r="I105" s="125">
        <f ca="1" t="shared" si="41"/>
      </c>
      <c r="J105" s="125">
        <f ca="1" t="shared" si="41"/>
      </c>
      <c r="K105" s="125">
        <f ca="1" t="shared" si="41"/>
      </c>
      <c r="L105" s="125">
        <f ca="1" t="shared" si="41"/>
      </c>
      <c r="M105" s="125">
        <f ca="1" t="shared" si="41"/>
      </c>
      <c r="N105" s="125">
        <f ca="1" t="shared" si="41"/>
      </c>
      <c r="O105" s="125">
        <f ca="1" t="shared" si="41"/>
      </c>
      <c r="P105" s="125">
        <f ca="1" t="shared" si="42"/>
      </c>
      <c r="Q105" s="125">
        <f ca="1" t="shared" si="42"/>
      </c>
      <c r="R105" s="125">
        <f ca="1" t="shared" si="42"/>
      </c>
      <c r="S105" s="125">
        <f ca="1" t="shared" si="42"/>
      </c>
      <c r="T105" s="125">
        <f ca="1" t="shared" si="42"/>
      </c>
      <c r="U105" s="125">
        <f ca="1" t="shared" si="42"/>
      </c>
      <c r="V105" s="125">
        <f ca="1" t="shared" si="42"/>
      </c>
      <c r="W105" s="125">
        <f ca="1" t="shared" si="42"/>
      </c>
      <c r="X105" s="125">
        <f ca="1" t="shared" si="42"/>
      </c>
      <c r="Y105" s="125">
        <f ca="1" t="shared" si="42"/>
      </c>
      <c r="Z105" s="125">
        <f ca="1" t="shared" si="43"/>
      </c>
      <c r="AA105" s="125">
        <f ca="1" t="shared" si="43"/>
      </c>
      <c r="AB105" s="125">
        <f ca="1" t="shared" si="43"/>
      </c>
      <c r="AC105" s="125">
        <f ca="1" t="shared" si="43"/>
      </c>
      <c r="AD105" s="125">
        <f ca="1" t="shared" si="43"/>
      </c>
      <c r="AE105" s="125">
        <f ca="1" t="shared" si="43"/>
      </c>
      <c r="AF105" s="125">
        <f ca="1" t="shared" si="43"/>
      </c>
      <c r="AG105" s="125">
        <f ca="1" t="shared" si="43"/>
      </c>
      <c r="AH105" s="125">
        <f ca="1" t="shared" si="43"/>
      </c>
      <c r="AI105" s="125">
        <f ca="1" t="shared" si="43"/>
      </c>
      <c r="AJ105" s="125">
        <f ca="1" t="shared" si="44"/>
      </c>
      <c r="AK105" s="125">
        <f ca="1" t="shared" si="44"/>
      </c>
      <c r="AL105" s="125">
        <f ca="1" t="shared" si="44"/>
      </c>
      <c r="AM105" s="125">
        <f ca="1" t="shared" si="44"/>
      </c>
      <c r="AN105" s="125">
        <f ca="1" t="shared" si="44"/>
      </c>
      <c r="AO105" s="126">
        <f ca="1" t="shared" si="44"/>
      </c>
    </row>
  </sheetData>
  <printOptions/>
  <pageMargins left="0.75" right="0.75" top="1" bottom="1" header="0.5" footer="0.5"/>
  <pageSetup blackAndWhite="1" cellComments="asDisplayed" fitToWidth="2" fitToHeight="1" horizontalDpi="600" verticalDpi="600" orientation="landscape" scale="43" r:id="rId4"/>
  <headerFooter alignWithMargins="0">
    <oddFooter>&amp;L&amp;"Arial Narrow,Regular"&amp;9&amp;F &amp;A &amp;P / &amp;N
&amp;D &amp;T</oddFooter>
  </headerFooter>
  <colBreaks count="1" manualBreakCount="1">
    <brk id="2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Selectica e-Insurance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Marian Smith ASA, MAAA, MAVA</dc:creator>
  <cp:keywords/>
  <dc:description/>
  <cp:lastModifiedBy>ATHUBE</cp:lastModifiedBy>
  <cp:lastPrinted>2001-06-12T21:57:53Z</cp:lastPrinted>
  <dcterms:created xsi:type="dcterms:W3CDTF">2001-05-24T01:27:42Z</dcterms:created>
  <dcterms:modified xsi:type="dcterms:W3CDTF">2002-07-28T15:48:41Z</dcterms:modified>
  <cp:category/>
  <cp:version/>
  <cp:contentType/>
  <cp:contentStatus/>
</cp:coreProperties>
</file>